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6" yWindow="576" windowWidth="23256" windowHeight="11952"/>
  </bookViews>
  <sheets>
    <sheet name="Информация" sheetId="2" r:id="rId1"/>
  </sheets>
  <definedNames>
    <definedName name="_xlnm.Print_Titles" localSheetId="0">Информация!$5:$7</definedName>
  </definedNames>
  <calcPr calcId="125725"/>
</workbook>
</file>

<file path=xl/calcChain.xml><?xml version="1.0" encoding="utf-8"?>
<calcChain xmlns="http://schemas.openxmlformats.org/spreadsheetml/2006/main">
  <c r="C91" i="2"/>
  <c r="B91"/>
  <c r="C89"/>
  <c r="B89"/>
  <c r="C85"/>
  <c r="B85"/>
  <c r="C88"/>
  <c r="B88"/>
  <c r="C87"/>
  <c r="B87"/>
  <c r="C86"/>
  <c r="B86"/>
  <c r="C81"/>
  <c r="C80"/>
  <c r="B81"/>
  <c r="C82"/>
  <c r="B82"/>
  <c r="C75"/>
  <c r="B75"/>
  <c r="C78"/>
  <c r="B78"/>
  <c r="C77"/>
  <c r="B77"/>
  <c r="C76"/>
  <c r="B76"/>
  <c r="C70"/>
  <c r="B70"/>
  <c r="C74"/>
  <c r="B74"/>
  <c r="C73"/>
  <c r="B73"/>
  <c r="C72"/>
  <c r="B72"/>
  <c r="C71"/>
  <c r="B71"/>
  <c r="C67"/>
  <c r="B67"/>
  <c r="C68"/>
  <c r="B68"/>
  <c r="C66"/>
  <c r="B66"/>
  <c r="C65"/>
  <c r="B65"/>
  <c r="C63"/>
  <c r="B63"/>
  <c r="C62"/>
  <c r="B62"/>
  <c r="C61"/>
  <c r="B61"/>
  <c r="C58"/>
  <c r="B58"/>
  <c r="C59"/>
  <c r="B59"/>
  <c r="C53"/>
  <c r="B53"/>
  <c r="C57"/>
  <c r="B57"/>
  <c r="C55"/>
  <c r="B55"/>
  <c r="C54"/>
  <c r="B54"/>
  <c r="J56"/>
  <c r="C46"/>
  <c r="B46"/>
  <c r="C52"/>
  <c r="B52"/>
  <c r="C51"/>
  <c r="B51"/>
  <c r="C50"/>
  <c r="B50"/>
  <c r="C48"/>
  <c r="B48"/>
  <c r="C42"/>
  <c r="B42"/>
  <c r="C44"/>
  <c r="C43"/>
  <c r="B43"/>
  <c r="C45"/>
  <c r="B45"/>
  <c r="C31"/>
  <c r="B31"/>
  <c r="C39"/>
  <c r="B39"/>
  <c r="B38"/>
  <c r="C36"/>
  <c r="B36"/>
  <c r="C35"/>
  <c r="B35"/>
  <c r="C34"/>
  <c r="B34"/>
  <c r="C33"/>
  <c r="B33"/>
  <c r="B80" l="1"/>
  <c r="B60"/>
  <c r="C60"/>
  <c r="C29"/>
  <c r="B29"/>
  <c r="C28"/>
  <c r="C27"/>
  <c r="C26"/>
  <c r="C25"/>
  <c r="B25"/>
  <c r="C23"/>
  <c r="B23"/>
  <c r="C22"/>
  <c r="B22"/>
  <c r="C21"/>
  <c r="B21"/>
  <c r="C20"/>
  <c r="B20"/>
  <c r="C19"/>
  <c r="B19"/>
  <c r="C18"/>
  <c r="B18"/>
  <c r="C17"/>
  <c r="B17"/>
  <c r="C15"/>
  <c r="B15"/>
  <c r="C13"/>
  <c r="B13"/>
  <c r="C12"/>
  <c r="B12"/>
  <c r="C11"/>
  <c r="B11"/>
  <c r="C10"/>
  <c r="B10"/>
  <c r="C8"/>
  <c r="B8"/>
  <c r="F89"/>
  <c r="G89" s="1"/>
  <c r="E89"/>
  <c r="F88"/>
  <c r="E88"/>
  <c r="G88" s="1"/>
  <c r="G87"/>
  <c r="F87"/>
  <c r="E87"/>
  <c r="F86"/>
  <c r="E86"/>
  <c r="F85"/>
  <c r="E85"/>
  <c r="G85" s="1"/>
  <c r="G82"/>
  <c r="F82"/>
  <c r="E82"/>
  <c r="G81"/>
  <c r="F81"/>
  <c r="E81"/>
  <c r="F80"/>
  <c r="G80" s="1"/>
  <c r="E80"/>
  <c r="F78"/>
  <c r="E78"/>
  <c r="G78" s="1"/>
  <c r="G77"/>
  <c r="F77"/>
  <c r="E77"/>
  <c r="G76"/>
  <c r="F76"/>
  <c r="E76"/>
  <c r="F75"/>
  <c r="G75" s="1"/>
  <c r="E75"/>
  <c r="F74"/>
  <c r="E74"/>
  <c r="G74" s="1"/>
  <c r="G73"/>
  <c r="F73"/>
  <c r="E73"/>
  <c r="G72"/>
  <c r="F72"/>
  <c r="E72"/>
  <c r="F71"/>
  <c r="G71" s="1"/>
  <c r="E71"/>
  <c r="F70"/>
  <c r="E70"/>
  <c r="G70" s="1"/>
  <c r="G68"/>
  <c r="F68"/>
  <c r="E68"/>
  <c r="G67"/>
  <c r="F67"/>
  <c r="E67"/>
  <c r="F66"/>
  <c r="G66" s="1"/>
  <c r="E66"/>
  <c r="F65"/>
  <c r="E65"/>
  <c r="G65" s="1"/>
  <c r="G64"/>
  <c r="F64"/>
  <c r="E64"/>
  <c r="G63"/>
  <c r="F63"/>
  <c r="E63"/>
  <c r="F62"/>
  <c r="G62" s="1"/>
  <c r="E62"/>
  <c r="F61"/>
  <c r="E61"/>
  <c r="G61" s="1"/>
  <c r="G60"/>
  <c r="F60"/>
  <c r="E60"/>
  <c r="G59"/>
  <c r="F59"/>
  <c r="E59"/>
  <c r="F58"/>
  <c r="G58" s="1"/>
  <c r="E58"/>
  <c r="F57"/>
  <c r="E57"/>
  <c r="G57" s="1"/>
  <c r="G56"/>
  <c r="E56"/>
  <c r="F55"/>
  <c r="G55" s="1"/>
  <c r="E55"/>
  <c r="F54"/>
  <c r="E54"/>
  <c r="G54" s="1"/>
  <c r="G53"/>
  <c r="F53"/>
  <c r="E53"/>
  <c r="G52"/>
  <c r="F52"/>
  <c r="E52"/>
  <c r="F51"/>
  <c r="G51" s="1"/>
  <c r="E51"/>
  <c r="F50"/>
  <c r="E50"/>
  <c r="G50" s="1"/>
  <c r="G48"/>
  <c r="F48"/>
  <c r="E48"/>
  <c r="G46"/>
  <c r="F46"/>
  <c r="E46"/>
  <c r="F45"/>
  <c r="G45" s="1"/>
  <c r="E45"/>
  <c r="F43"/>
  <c r="E43"/>
  <c r="G43" s="1"/>
  <c r="G42"/>
  <c r="F42"/>
  <c r="E42"/>
  <c r="G39"/>
  <c r="F39"/>
  <c r="E39"/>
  <c r="E38"/>
  <c r="G38" s="1"/>
  <c r="G36"/>
  <c r="F36"/>
  <c r="E36"/>
  <c r="G35"/>
  <c r="F35"/>
  <c r="E35"/>
  <c r="F34"/>
  <c r="G34" s="1"/>
  <c r="E34"/>
  <c r="F33"/>
  <c r="E33"/>
  <c r="G33" s="1"/>
  <c r="G31"/>
  <c r="F31"/>
  <c r="E31"/>
  <c r="G29"/>
  <c r="F29"/>
  <c r="E29"/>
  <c r="F28"/>
  <c r="F27"/>
  <c r="F26"/>
  <c r="F25"/>
  <c r="E25"/>
  <c r="G25" s="1"/>
  <c r="G23"/>
  <c r="F23"/>
  <c r="E23"/>
  <c r="G22"/>
  <c r="F22"/>
  <c r="E22"/>
  <c r="F21"/>
  <c r="G21" s="1"/>
  <c r="E21"/>
  <c r="F20"/>
  <c r="E20"/>
  <c r="G20" s="1"/>
  <c r="G19"/>
  <c r="F19"/>
  <c r="E19"/>
  <c r="G18"/>
  <c r="F18"/>
  <c r="E18"/>
  <c r="F17"/>
  <c r="G17" s="1"/>
  <c r="E17"/>
  <c r="F15"/>
  <c r="E15"/>
  <c r="G15" s="1"/>
  <c r="G13"/>
  <c r="F13"/>
  <c r="E13"/>
  <c r="G12"/>
  <c r="F12"/>
  <c r="E12"/>
  <c r="F11"/>
  <c r="G11" s="1"/>
  <c r="E11"/>
  <c r="F10"/>
  <c r="E10"/>
  <c r="G10" s="1"/>
  <c r="G8"/>
  <c r="F8"/>
  <c r="E8"/>
  <c r="D68"/>
  <c r="H59" l="1"/>
  <c r="I91" l="1"/>
  <c r="I89"/>
  <c r="J89" s="1"/>
  <c r="I88"/>
  <c r="J88" s="1"/>
  <c r="I87"/>
  <c r="I86"/>
  <c r="I85"/>
  <c r="I84"/>
  <c r="I83"/>
  <c r="I82"/>
  <c r="J82" s="1"/>
  <c r="I80"/>
  <c r="J80" s="1"/>
  <c r="I79"/>
  <c r="I77"/>
  <c r="I76"/>
  <c r="J76" s="1"/>
  <c r="I75"/>
  <c r="J75" s="1"/>
  <c r="I74"/>
  <c r="J74" s="1"/>
  <c r="I73"/>
  <c r="J73" s="1"/>
  <c r="I72"/>
  <c r="J72" s="1"/>
  <c r="I71"/>
  <c r="J71" s="1"/>
  <c r="I70"/>
  <c r="J70" s="1"/>
  <c r="I69"/>
  <c r="I68"/>
  <c r="J68" s="1"/>
  <c r="I67"/>
  <c r="J67" s="1"/>
  <c r="I66"/>
  <c r="J66" s="1"/>
  <c r="I65"/>
  <c r="J65" s="1"/>
  <c r="I63"/>
  <c r="J63" s="1"/>
  <c r="I62"/>
  <c r="J62" s="1"/>
  <c r="I61"/>
  <c r="J61" s="1"/>
  <c r="I60"/>
  <c r="J60" s="1"/>
  <c r="I59"/>
  <c r="J59" s="1"/>
  <c r="I58"/>
  <c r="J58" s="1"/>
  <c r="I57"/>
  <c r="J57" s="1"/>
  <c r="I56"/>
  <c r="I55"/>
  <c r="J55" s="1"/>
  <c r="I54"/>
  <c r="J54" s="1"/>
  <c r="I53"/>
  <c r="J53" s="1"/>
  <c r="I52"/>
  <c r="J52" s="1"/>
  <c r="I51"/>
  <c r="J51" s="1"/>
  <c r="I50"/>
  <c r="J50" s="1"/>
  <c r="I49"/>
  <c r="I47"/>
  <c r="I46"/>
  <c r="J46" s="1"/>
  <c r="I45"/>
  <c r="J45" s="1"/>
  <c r="I44"/>
  <c r="I43"/>
  <c r="J43" s="1"/>
  <c r="I42"/>
  <c r="J42" s="1"/>
  <c r="I41"/>
  <c r="I40"/>
  <c r="I39"/>
  <c r="J39" s="1"/>
  <c r="I38"/>
  <c r="I37"/>
  <c r="I36"/>
  <c r="J36" s="1"/>
  <c r="I35"/>
  <c r="J35" s="1"/>
  <c r="I34"/>
  <c r="J34" s="1"/>
  <c r="I32"/>
  <c r="I31"/>
  <c r="J31" s="1"/>
  <c r="I29"/>
  <c r="J29" s="1"/>
  <c r="I28"/>
  <c r="J28" s="1"/>
  <c r="I26"/>
  <c r="J26" s="1"/>
  <c r="I25"/>
  <c r="J25" s="1"/>
  <c r="I24"/>
  <c r="I23"/>
  <c r="J23" s="1"/>
  <c r="I22"/>
  <c r="J22" s="1"/>
  <c r="I21"/>
  <c r="J21" s="1"/>
  <c r="I20"/>
  <c r="J20" s="1"/>
  <c r="I19"/>
  <c r="J19" s="1"/>
  <c r="I18"/>
  <c r="J18" s="1"/>
  <c r="I17"/>
  <c r="J17" s="1"/>
  <c r="I16"/>
  <c r="I15"/>
  <c r="J15" s="1"/>
  <c r="I14"/>
  <c r="I13"/>
  <c r="J13" s="1"/>
  <c r="I12"/>
  <c r="J12" s="1"/>
  <c r="I11"/>
  <c r="J11" s="1"/>
  <c r="I10"/>
  <c r="J10" s="1"/>
  <c r="I8"/>
  <c r="J8" s="1"/>
  <c r="D81"/>
  <c r="I81"/>
  <c r="J81" s="1"/>
  <c r="I78"/>
  <c r="C64"/>
  <c r="I64" s="1"/>
  <c r="J64" s="1"/>
  <c r="B64"/>
  <c r="I48"/>
  <c r="J48" s="1"/>
  <c r="I27"/>
  <c r="D78" l="1"/>
  <c r="H25"/>
  <c r="D87"/>
  <c r="D85"/>
  <c r="D38"/>
  <c r="D72"/>
  <c r="H85"/>
  <c r="H87"/>
  <c r="H38"/>
  <c r="D20" l="1"/>
  <c r="D88"/>
  <c r="D18"/>
  <c r="D22"/>
  <c r="D31"/>
  <c r="D35"/>
  <c r="D50"/>
  <c r="D52"/>
  <c r="D54"/>
  <c r="D56"/>
  <c r="D58"/>
  <c r="D60"/>
  <c r="D62"/>
  <c r="D64"/>
  <c r="D66"/>
  <c r="D70"/>
  <c r="D74"/>
  <c r="D76"/>
  <c r="D25"/>
  <c r="D11"/>
  <c r="H46"/>
  <c r="D19"/>
  <c r="D21"/>
  <c r="D23"/>
  <c r="D29"/>
  <c r="D89"/>
  <c r="H81"/>
  <c r="D17"/>
  <c r="D8"/>
  <c r="D13"/>
  <c r="D15"/>
  <c r="D39"/>
  <c r="D43"/>
  <c r="D45"/>
  <c r="D10"/>
  <c r="D12"/>
  <c r="D34"/>
  <c r="D36"/>
  <c r="D42"/>
  <c r="D46"/>
  <c r="D48"/>
  <c r="D51"/>
  <c r="D53"/>
  <c r="D55"/>
  <c r="D57"/>
  <c r="D59"/>
  <c r="D61"/>
  <c r="D65"/>
  <c r="D67"/>
  <c r="D71"/>
  <c r="D73"/>
  <c r="D75"/>
  <c r="D77"/>
  <c r="D80"/>
  <c r="D82"/>
  <c r="D63"/>
  <c r="H50"/>
  <c r="H53"/>
  <c r="H57"/>
  <c r="H82"/>
  <c r="H68"/>
  <c r="H56"/>
  <c r="H52"/>
  <c r="H43"/>
  <c r="H35"/>
  <c r="H18"/>
  <c r="H19"/>
  <c r="H21"/>
  <c r="H73"/>
  <c r="H23"/>
  <c r="H8"/>
  <c r="H22"/>
  <c r="H58"/>
  <c r="H13"/>
  <c r="H20"/>
  <c r="H89"/>
  <c r="H88"/>
  <c r="H80"/>
  <c r="H76"/>
  <c r="H75"/>
  <c r="H74"/>
  <c r="H72"/>
  <c r="H71"/>
  <c r="H70"/>
  <c r="H67"/>
  <c r="H66"/>
  <c r="H65"/>
  <c r="H64"/>
  <c r="H63"/>
  <c r="H62"/>
  <c r="H61"/>
  <c r="H60"/>
  <c r="H55"/>
  <c r="H54"/>
  <c r="H51"/>
  <c r="H48"/>
  <c r="H45"/>
  <c r="H42"/>
  <c r="H39"/>
  <c r="H36"/>
  <c r="H34"/>
  <c r="H33"/>
  <c r="H31"/>
  <c r="H29"/>
  <c r="H17"/>
  <c r="H15"/>
  <c r="H12"/>
  <c r="H11"/>
  <c r="H10"/>
  <c r="D33"/>
  <c r="I33"/>
  <c r="J33" s="1"/>
</calcChain>
</file>

<file path=xl/sharedStrings.xml><?xml version="1.0" encoding="utf-8"?>
<sst xmlns="http://schemas.openxmlformats.org/spreadsheetml/2006/main" count="107" uniqueCount="101">
  <si>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</si>
  <si>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</si>
  <si>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</si>
  <si>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</si>
  <si>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</si>
  <si>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</si>
  <si>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</si>
  <si>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</si>
  <si>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</si>
  <si>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</si>
  <si>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</si>
  <si>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</si>
  <si>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</si>
  <si>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</si>
  <si>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</si>
  <si>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</si>
  <si>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</si>
  <si>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</si>
  <si>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</si>
  <si>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</si>
  <si>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</si>
  <si>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</si>
  <si>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</si>
  <si>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</si>
  <si>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</si>
  <si>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</si>
  <si>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</si>
  <si>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</si>
  <si>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</si>
  <si>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</si>
  <si>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</si>
  <si>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</si>
  <si>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</si>
  <si>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</si>
  <si>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</si>
  <si>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</si>
  <si>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</si>
  <si>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</si>
  <si>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</si>
  <si>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</si>
  <si>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</si>
  <si>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</si>
  <si>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</si>
  <si>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</si>
  <si>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</si>
  <si>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</si>
  <si>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</si>
  <si>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</si>
  <si>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</si>
  <si>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</si>
  <si>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</si>
  <si>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</si>
  <si>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</si>
  <si>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</si>
  <si>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</si>
  <si>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</si>
  <si>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</si>
  <si>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</si>
  <si>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</si>
  <si>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</si>
  <si>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</si>
  <si>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</si>
  <si>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</si>
  <si>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</si>
  <si>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</si>
  <si>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</si>
  <si>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</si>
  <si>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</si>
  <si>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</si>
  <si>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</si>
  <si>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</si>
  <si>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</si>
  <si>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</si>
  <si>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</si>
  <si>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</si>
  <si>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</si>
  <si>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</si>
  <si>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</si>
  <si>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</si>
  <si>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</si>
  <si>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</si>
  <si>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</si>
  <si>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</si>
  <si>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</si>
  <si>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</si>
  <si>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Отклонение</t>
  </si>
  <si>
    <t xml:space="preserve"> </t>
  </si>
  <si>
    <t>Транспорт</t>
  </si>
  <si>
    <t>Телевидение и радиовещание</t>
  </si>
  <si>
    <t xml:space="preserve">  БЕЗВОЗМЕЗДНЫЕ ПОСТУПЛЕНИЯ ОТ НЕРЕЗИДЕНТОВ</t>
  </si>
  <si>
    <t xml:space="preserve">  Молодежная политика </t>
  </si>
  <si>
    <t>5</t>
  </si>
  <si>
    <t>9</t>
  </si>
  <si>
    <t>10</t>
  </si>
  <si>
    <t>на 01.01.2022</t>
  </si>
  <si>
    <t>% исполнения за 2021 год</t>
  </si>
  <si>
    <t>Спорт высших достижений</t>
  </si>
  <si>
    <t>темп                роста (+)         снижения (-)</t>
  </si>
  <si>
    <t>Сопоставимая информация об исполнении консолидированного бюджета МО "Всеволожский муниципальный район" Ленинградской области за 2021 год по отношению к 2020 году (тыс. руб.)</t>
  </si>
  <si>
    <t>на 01.01.2023</t>
  </si>
  <si>
    <t>% исполнения за 2022 год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</si>
</sst>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9">
    <xf numFmtId="0" fontId="0" fillId="0" borderId="0" xfId="0"/>
    <xf numFmtId="0" fontId="20" fillId="4" borderId="0" xfId="0" applyFont="1" applyFill="1" applyProtection="1">
      <protection locked="0"/>
    </xf>
    <xf numFmtId="49" fontId="19" fillId="4" borderId="50" xfId="39" applyFont="1" applyFill="1" applyBorder="1" applyProtection="1">
      <alignment horizontal="center" vertical="center" wrapText="1"/>
    </xf>
    <xf numFmtId="49" fontId="19" fillId="4" borderId="49" xfId="39" applyFont="1" applyFill="1" applyBorder="1" applyProtection="1">
      <alignment horizontal="center" vertical="center" wrapText="1"/>
    </xf>
    <xf numFmtId="0" fontId="19" fillId="4" borderId="49" xfId="10" applyNumberFormat="1" applyFont="1" applyFill="1" applyBorder="1" applyProtection="1"/>
    <xf numFmtId="0" fontId="19" fillId="4" borderId="51" xfId="40" applyNumberFormat="1" applyFont="1" applyFill="1" applyBorder="1" applyProtection="1">
      <alignment horizontal="center" vertical="center" wrapText="1"/>
    </xf>
    <xf numFmtId="0" fontId="19" fillId="4" borderId="49" xfId="40" applyNumberFormat="1" applyFont="1" applyFill="1" applyBorder="1" applyProtection="1">
      <alignment horizontal="center" vertical="center" wrapText="1"/>
    </xf>
    <xf numFmtId="0" fontId="19" fillId="4" borderId="49" xfId="42" applyNumberFormat="1" applyFont="1" applyFill="1" applyBorder="1" applyProtection="1">
      <alignment horizontal="left" wrapText="1"/>
    </xf>
    <xf numFmtId="4" fontId="19" fillId="4" borderId="49" xfId="45" applyFont="1" applyFill="1" applyBorder="1" applyProtection="1">
      <alignment horizontal="right"/>
    </xf>
    <xf numFmtId="0" fontId="19" fillId="4" borderId="49" xfId="17" applyNumberFormat="1" applyFont="1" applyFill="1" applyBorder="1" applyProtection="1"/>
    <xf numFmtId="4" fontId="20" fillId="4" borderId="49" xfId="0" applyNumberFormat="1" applyFont="1" applyFill="1" applyBorder="1" applyProtection="1">
      <protection locked="0"/>
    </xf>
    <xf numFmtId="0" fontId="19" fillId="4" borderId="49" xfId="47" applyNumberFormat="1" applyFont="1" applyFill="1" applyBorder="1" applyProtection="1">
      <alignment horizontal="left" wrapText="1" indent="1"/>
    </xf>
    <xf numFmtId="49" fontId="19" fillId="4" borderId="49" xfId="49" applyFont="1" applyFill="1" applyBorder="1" applyProtection="1">
      <alignment horizontal="center"/>
    </xf>
    <xf numFmtId="0" fontId="19" fillId="4" borderId="49" xfId="51" applyNumberFormat="1" applyFont="1" applyFill="1" applyBorder="1" applyProtection="1">
      <alignment horizontal="left" wrapText="1" indent="2"/>
    </xf>
    <xf numFmtId="4" fontId="19" fillId="4" borderId="49" xfId="54" applyFont="1" applyFill="1" applyBorder="1" applyProtection="1">
      <alignment horizontal="right"/>
    </xf>
    <xf numFmtId="0" fontId="17" fillId="4" borderId="0" xfId="0" applyFont="1" applyFill="1" applyProtection="1">
      <protection locked="0"/>
    </xf>
    <xf numFmtId="0" fontId="18" fillId="4" borderId="49" xfId="74" applyNumberFormat="1" applyFont="1" applyFill="1" applyBorder="1" applyProtection="1">
      <alignment horizontal="left" wrapText="1"/>
    </xf>
    <xf numFmtId="4" fontId="19" fillId="4" borderId="49" xfId="77" applyFont="1" applyFill="1" applyBorder="1" applyProtection="1">
      <alignment horizontal="right"/>
    </xf>
    <xf numFmtId="0" fontId="19" fillId="4" borderId="49" xfId="83" applyNumberFormat="1" applyFont="1" applyFill="1" applyBorder="1" applyProtection="1">
      <alignment horizontal="left" wrapText="1"/>
    </xf>
    <xf numFmtId="0" fontId="20" fillId="4" borderId="49" xfId="0" applyFont="1" applyFill="1" applyBorder="1" applyProtection="1">
      <protection locked="0"/>
    </xf>
    <xf numFmtId="0" fontId="19" fillId="4" borderId="49" xfId="85" applyNumberFormat="1" applyFont="1" applyFill="1" applyBorder="1" applyProtection="1">
      <alignment horizontal="left" wrapText="1"/>
    </xf>
    <xf numFmtId="0" fontId="19" fillId="4" borderId="49" xfId="89" applyNumberFormat="1" applyFont="1" applyFill="1" applyBorder="1" applyProtection="1">
      <alignment horizontal="left" wrapText="1" indent="1"/>
    </xf>
    <xf numFmtId="49" fontId="19" fillId="4" borderId="56" xfId="39" applyFont="1" applyFill="1" applyBorder="1" applyProtection="1">
      <alignment horizontal="center" vertical="center" wrapText="1"/>
    </xf>
    <xf numFmtId="0" fontId="19" fillId="4" borderId="57" xfId="40" applyNumberFormat="1" applyFont="1" applyFill="1" applyBorder="1" applyProtection="1">
      <alignment horizontal="center" vertical="center" wrapText="1"/>
    </xf>
    <xf numFmtId="4" fontId="19" fillId="4" borderId="55" xfId="45" applyFont="1" applyFill="1" applyBorder="1" applyProtection="1">
      <alignment horizontal="right"/>
    </xf>
    <xf numFmtId="4" fontId="19" fillId="4" borderId="12" xfId="45" applyFont="1" applyFill="1" applyBorder="1" applyProtection="1">
      <alignment horizontal="right"/>
    </xf>
    <xf numFmtId="4" fontId="20" fillId="4" borderId="0" xfId="0" applyNumberFormat="1" applyFont="1" applyFill="1" applyProtection="1">
      <protection locked="0"/>
    </xf>
    <xf numFmtId="49" fontId="19" fillId="4" borderId="49" xfId="71" applyFont="1" applyFill="1" applyBorder="1" applyProtection="1">
      <alignment horizontal="center"/>
    </xf>
    <xf numFmtId="0" fontId="19" fillId="4" borderId="49" xfId="66" applyNumberFormat="1" applyFont="1" applyFill="1" applyBorder="1" applyProtection="1">
      <alignment horizontal="left" wrapText="1"/>
    </xf>
    <xf numFmtId="0" fontId="19" fillId="4" borderId="49" xfId="69" applyNumberFormat="1" applyFont="1" applyFill="1" applyBorder="1" applyProtection="1">
      <alignment horizontal="left" wrapText="1" indent="1"/>
    </xf>
    <xf numFmtId="4" fontId="17" fillId="4" borderId="0" xfId="0" applyNumberFormat="1" applyFont="1" applyFill="1" applyProtection="1">
      <protection locked="0"/>
    </xf>
    <xf numFmtId="0" fontId="19" fillId="4" borderId="52" xfId="6" applyNumberFormat="1" applyFont="1" applyFill="1" applyBorder="1" applyAlignment="1" applyProtection="1">
      <alignment horizontal="center"/>
    </xf>
    <xf numFmtId="0" fontId="20" fillId="4" borderId="52" xfId="0" applyFont="1" applyFill="1" applyBorder="1" applyAlignment="1" applyProtection="1">
      <alignment horizontal="center"/>
      <protection locked="0"/>
    </xf>
    <xf numFmtId="49" fontId="20" fillId="4" borderId="1" xfId="0" applyNumberFormat="1" applyFont="1" applyFill="1" applyBorder="1" applyAlignment="1" applyProtection="1">
      <alignment horizontal="center"/>
      <protection locked="0"/>
    </xf>
    <xf numFmtId="49" fontId="19" fillId="4" borderId="49" xfId="41" applyFont="1" applyFill="1" applyBorder="1" applyAlignment="1" applyProtection="1">
      <alignment horizontal="center" vertical="center" wrapText="1"/>
    </xf>
    <xf numFmtId="0" fontId="19" fillId="4" borderId="49" xfId="10" applyNumberFormat="1" applyFont="1" applyFill="1" applyBorder="1" applyAlignment="1" applyProtection="1">
      <alignment horizontal="center"/>
    </xf>
    <xf numFmtId="49" fontId="20" fillId="4" borderId="49" xfId="0" applyNumberFormat="1" applyFont="1" applyFill="1" applyBorder="1" applyAlignment="1" applyProtection="1">
      <alignment horizontal="center"/>
      <protection locked="0"/>
    </xf>
    <xf numFmtId="4" fontId="19" fillId="4" borderId="26" xfId="54" applyNumberFormat="1" applyFont="1" applyFill="1" applyProtection="1">
      <alignment horizontal="right"/>
    </xf>
    <xf numFmtId="0" fontId="20" fillId="4" borderId="58" xfId="0" applyFont="1" applyFill="1" applyBorder="1" applyAlignment="1" applyProtection="1">
      <alignment horizontal="center" vertical="center" wrapText="1"/>
      <protection locked="0"/>
    </xf>
    <xf numFmtId="0" fontId="20" fillId="4" borderId="59" xfId="0" applyFont="1" applyFill="1" applyBorder="1" applyAlignment="1" applyProtection="1">
      <alignment horizontal="center" vertical="center" wrapText="1"/>
      <protection locked="0"/>
    </xf>
    <xf numFmtId="0" fontId="20" fillId="4" borderId="60" xfId="0" applyFont="1" applyFill="1" applyBorder="1" applyAlignment="1" applyProtection="1">
      <alignment horizontal="center" vertical="center" wrapText="1"/>
      <protection locked="0"/>
    </xf>
    <xf numFmtId="49" fontId="19" fillId="4" borderId="49" xfId="39" applyFont="1" applyFill="1" applyBorder="1" applyAlignment="1" applyProtection="1">
      <alignment horizontal="center" vertical="center" wrapText="1"/>
    </xf>
    <xf numFmtId="0" fontId="19" fillId="4" borderId="1" xfId="20" applyNumberFormat="1" applyFont="1" applyFill="1" applyAlignment="1" applyProtection="1">
      <alignment horizontal="center"/>
    </xf>
    <xf numFmtId="0" fontId="19" fillId="4" borderId="53" xfId="6" applyNumberFormat="1" applyFont="1" applyFill="1" applyBorder="1" applyAlignment="1" applyProtection="1">
      <alignment horizontal="center"/>
    </xf>
    <xf numFmtId="0" fontId="19" fillId="4" borderId="54" xfId="6" applyNumberFormat="1" applyFont="1" applyFill="1" applyBorder="1" applyAlignment="1" applyProtection="1">
      <alignment horizontal="center"/>
    </xf>
    <xf numFmtId="49" fontId="19" fillId="4" borderId="49" xfId="25" applyFont="1" applyFill="1" applyBorder="1" applyAlignment="1" applyProtection="1">
      <alignment horizontal="center"/>
    </xf>
    <xf numFmtId="0" fontId="20" fillId="4" borderId="49" xfId="0" applyFont="1" applyFill="1" applyBorder="1" applyAlignment="1" applyProtection="1">
      <alignment horizontal="center" vertical="center"/>
      <protection locked="0"/>
    </xf>
    <xf numFmtId="4" fontId="19" fillId="4" borderId="49" xfId="17" applyNumberFormat="1" applyFont="1" applyFill="1" applyBorder="1" applyProtection="1"/>
    <xf numFmtId="2" fontId="19" fillId="4" borderId="49" xfId="17" applyNumberFormat="1" applyFont="1" applyFill="1" applyBorder="1" applyProtection="1"/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topLeftCell="A79" zoomScale="85" zoomScaleNormal="85" workbookViewId="0">
      <selection activeCell="A79" sqref="A1:XFD1048576"/>
    </sheetView>
  </sheetViews>
  <sheetFormatPr defaultColWidth="9.109375" defaultRowHeight="18"/>
  <cols>
    <col min="1" max="1" width="74.88671875" style="1" customWidth="1"/>
    <col min="2" max="2" width="23.5546875" style="1" customWidth="1"/>
    <col min="3" max="3" width="23" style="1" customWidth="1"/>
    <col min="4" max="4" width="14.109375" style="1" customWidth="1"/>
    <col min="5" max="5" width="24.44140625" style="1" customWidth="1"/>
    <col min="6" max="6" width="21.21875" style="1" customWidth="1"/>
    <col min="7" max="7" width="9.109375" style="1" hidden="1" customWidth="1"/>
    <col min="8" max="8" width="17.109375" style="1" customWidth="1"/>
    <col min="9" max="9" width="19.5546875" style="1" customWidth="1"/>
    <col min="10" max="10" width="16.33203125" style="1" customWidth="1"/>
    <col min="11" max="11" width="22.88671875" style="1" bestFit="1" customWidth="1"/>
    <col min="12" max="12" width="22.109375" style="1" bestFit="1" customWidth="1"/>
    <col min="13" max="16384" width="9.109375" style="1"/>
  </cols>
  <sheetData>
    <row r="1" spans="1:11">
      <c r="A1" s="42" t="s">
        <v>98</v>
      </c>
      <c r="B1" s="42"/>
      <c r="C1" s="42"/>
      <c r="D1" s="42"/>
      <c r="E1" s="42"/>
      <c r="F1" s="42"/>
      <c r="G1" s="42"/>
      <c r="H1" s="42"/>
      <c r="I1" s="42"/>
      <c r="J1" s="42"/>
    </row>
    <row r="2" spans="1:1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1" ht="18.75" customHeight="1">
      <c r="A4" s="41" t="s">
        <v>0</v>
      </c>
      <c r="B4" s="43" t="s">
        <v>99</v>
      </c>
      <c r="C4" s="44"/>
      <c r="D4" s="44"/>
      <c r="E4" s="45" t="s">
        <v>94</v>
      </c>
      <c r="F4" s="45"/>
      <c r="G4" s="45"/>
      <c r="H4" s="45"/>
      <c r="I4" s="46" t="s">
        <v>85</v>
      </c>
      <c r="J4" s="38" t="s">
        <v>97</v>
      </c>
    </row>
    <row r="5" spans="1:11" ht="54">
      <c r="A5" s="41"/>
      <c r="B5" s="2" t="s">
        <v>1</v>
      </c>
      <c r="C5" s="22" t="s">
        <v>2</v>
      </c>
      <c r="D5" s="41" t="s">
        <v>100</v>
      </c>
      <c r="E5" s="3" t="s">
        <v>1</v>
      </c>
      <c r="F5" s="3" t="s">
        <v>2</v>
      </c>
      <c r="G5" s="4"/>
      <c r="H5" s="41" t="s">
        <v>95</v>
      </c>
      <c r="I5" s="46"/>
      <c r="J5" s="39"/>
    </row>
    <row r="6" spans="1:11" ht="199.2" customHeight="1">
      <c r="A6" s="41"/>
      <c r="B6" s="5" t="s">
        <v>3</v>
      </c>
      <c r="C6" s="23" t="s">
        <v>3</v>
      </c>
      <c r="D6" s="41"/>
      <c r="E6" s="6" t="s">
        <v>3</v>
      </c>
      <c r="F6" s="6" t="s">
        <v>3</v>
      </c>
      <c r="G6" s="4"/>
      <c r="H6" s="41"/>
      <c r="I6" s="46"/>
      <c r="J6" s="40"/>
    </row>
    <row r="7" spans="1:11" ht="18.600000000000001" thickBot="1">
      <c r="A7" s="3" t="s">
        <v>4</v>
      </c>
      <c r="B7" s="31">
        <v>3</v>
      </c>
      <c r="C7" s="32">
        <v>4</v>
      </c>
      <c r="D7" s="33" t="s">
        <v>91</v>
      </c>
      <c r="E7" s="34" t="s">
        <v>5</v>
      </c>
      <c r="F7" s="34" t="s">
        <v>6</v>
      </c>
      <c r="G7" s="35"/>
      <c r="H7" s="35">
        <v>8</v>
      </c>
      <c r="I7" s="36" t="s">
        <v>92</v>
      </c>
      <c r="J7" s="36" t="s">
        <v>93</v>
      </c>
    </row>
    <row r="8" spans="1:11">
      <c r="A8" s="7" t="s">
        <v>7</v>
      </c>
      <c r="B8" s="8">
        <f>19292399073.25/1000</f>
        <v>19292399.073249999</v>
      </c>
      <c r="C8" s="8">
        <f>19540152627.21/1000</f>
        <v>19540152.627209999</v>
      </c>
      <c r="D8" s="24">
        <f>C8/B8*100</f>
        <v>101.28420292893239</v>
      </c>
      <c r="E8" s="8">
        <f>16648396602.32/1000</f>
        <v>16648396.602320001</v>
      </c>
      <c r="F8" s="8">
        <f>16626281007.7/1000</f>
        <v>16626281.0077</v>
      </c>
      <c r="G8" s="24">
        <f>F8/E8*100</f>
        <v>99.867160813450838</v>
      </c>
      <c r="H8" s="47">
        <f>F8/E8*100</f>
        <v>99.867160813450838</v>
      </c>
      <c r="I8" s="10">
        <f>C8-F8</f>
        <v>2913871.6195099987</v>
      </c>
      <c r="J8" s="10">
        <f>I8/F8</f>
        <v>0.17525696926212903</v>
      </c>
      <c r="K8" s="26"/>
    </row>
    <row r="9" spans="1:11">
      <c r="A9" s="11" t="s">
        <v>8</v>
      </c>
      <c r="B9" s="12"/>
      <c r="C9" s="12"/>
      <c r="D9" s="24"/>
      <c r="E9" s="12"/>
      <c r="F9" s="12"/>
      <c r="G9" s="24"/>
      <c r="H9" s="47"/>
      <c r="I9" s="10"/>
      <c r="J9" s="10"/>
      <c r="K9" s="26"/>
    </row>
    <row r="10" spans="1:11">
      <c r="A10" s="13" t="s">
        <v>9</v>
      </c>
      <c r="B10" s="14">
        <f>541882100/1000</f>
        <v>541882.1</v>
      </c>
      <c r="C10" s="14">
        <f>514536291.95/1000</f>
        <v>514536.29194999998</v>
      </c>
      <c r="D10" s="24">
        <f t="shared" ref="D10:D72" si="0">C10/B10*100</f>
        <v>94.953550218765301</v>
      </c>
      <c r="E10" s="14">
        <f>6051405400/1000</f>
        <v>6051405.4000000004</v>
      </c>
      <c r="F10" s="14">
        <f>6277140452.35/1000</f>
        <v>6277140.4523499999</v>
      </c>
      <c r="G10" s="24">
        <f t="shared" ref="G10:G13" si="1">F10/E10*100</f>
        <v>103.73029135265008</v>
      </c>
      <c r="H10" s="47">
        <f t="shared" ref="H10:H73" si="2">F10/E10*100</f>
        <v>103.73029135265008</v>
      </c>
      <c r="I10" s="10">
        <f t="shared" ref="I10:I73" si="3">C10-F10</f>
        <v>-5762604.1603999995</v>
      </c>
      <c r="J10" s="10">
        <f t="shared" ref="J10:J73" si="4">I10/F10</f>
        <v>-0.91803014511848757</v>
      </c>
      <c r="K10" s="26"/>
    </row>
    <row r="11" spans="1:11">
      <c r="A11" s="13" t="s">
        <v>84</v>
      </c>
      <c r="B11" s="14">
        <f>3370000000/1000</f>
        <v>3370000</v>
      </c>
      <c r="C11" s="14">
        <f>3528499577.99/1000</f>
        <v>3528499.5779899997</v>
      </c>
      <c r="D11" s="24">
        <f t="shared" si="0"/>
        <v>104.70325157240354</v>
      </c>
      <c r="E11" s="14">
        <f>2568497600/1000</f>
        <v>2568497.6</v>
      </c>
      <c r="F11" s="14">
        <f>2724050237.58/1000</f>
        <v>2724050.23758</v>
      </c>
      <c r="G11" s="24">
        <f t="shared" si="1"/>
        <v>106.05617219887611</v>
      </c>
      <c r="H11" s="47">
        <f t="shared" si="2"/>
        <v>106.05617219887611</v>
      </c>
      <c r="I11" s="10">
        <f t="shared" si="3"/>
        <v>804449.34040999971</v>
      </c>
      <c r="J11" s="10">
        <f t="shared" si="4"/>
        <v>0.29531369477409453</v>
      </c>
      <c r="K11" s="26"/>
    </row>
    <row r="12" spans="1:11">
      <c r="A12" s="13" t="s">
        <v>83</v>
      </c>
      <c r="B12" s="14">
        <f>1800000/1000</f>
        <v>1800</v>
      </c>
      <c r="C12" s="14">
        <f>2182209.97/1000</f>
        <v>2182.2099700000003</v>
      </c>
      <c r="D12" s="24">
        <f t="shared" si="0"/>
        <v>121.23388722222224</v>
      </c>
      <c r="E12" s="14">
        <f>500000/1000</f>
        <v>500</v>
      </c>
      <c r="F12" s="14">
        <f>672585.41/1000</f>
        <v>672.58541000000002</v>
      </c>
      <c r="G12" s="24">
        <f t="shared" si="1"/>
        <v>134.51708200000002</v>
      </c>
      <c r="H12" s="47">
        <f t="shared" si="2"/>
        <v>134.51708200000002</v>
      </c>
      <c r="I12" s="10">
        <f t="shared" si="3"/>
        <v>1509.6245600000002</v>
      </c>
      <c r="J12" s="10">
        <f t="shared" si="4"/>
        <v>2.2445098236668564</v>
      </c>
    </row>
    <row r="13" spans="1:11">
      <c r="A13" s="13" t="s">
        <v>10</v>
      </c>
      <c r="B13" s="14">
        <f>3796470200/1000</f>
        <v>3796470.2</v>
      </c>
      <c r="C13" s="14">
        <f>3944297000.81/1000</f>
        <v>3944297.0008100001</v>
      </c>
      <c r="D13" s="24">
        <f t="shared" si="0"/>
        <v>103.8937958951976</v>
      </c>
      <c r="E13" s="14">
        <f>2757031000/1000</f>
        <v>2757031</v>
      </c>
      <c r="F13" s="14">
        <f>2792877506.36/1000</f>
        <v>2792877.50636</v>
      </c>
      <c r="G13" s="24">
        <f t="shared" si="1"/>
        <v>101.30018510346818</v>
      </c>
      <c r="H13" s="47">
        <f t="shared" si="2"/>
        <v>101.30018510346818</v>
      </c>
      <c r="I13" s="10">
        <f t="shared" si="3"/>
        <v>1151419.4944500001</v>
      </c>
      <c r="J13" s="10">
        <f t="shared" si="4"/>
        <v>0.41226995878908518</v>
      </c>
    </row>
    <row r="14" spans="1:11">
      <c r="A14" s="13" t="s">
        <v>11</v>
      </c>
      <c r="B14" s="14">
        <v>0</v>
      </c>
      <c r="C14" s="14">
        <v>0</v>
      </c>
      <c r="D14" s="24">
        <v>0</v>
      </c>
      <c r="E14" s="14">
        <v>0</v>
      </c>
      <c r="F14" s="14">
        <v>0</v>
      </c>
      <c r="G14" s="24">
        <v>0</v>
      </c>
      <c r="H14" s="47">
        <v>0</v>
      </c>
      <c r="I14" s="10">
        <f t="shared" si="3"/>
        <v>0</v>
      </c>
      <c r="J14" s="10">
        <v>0</v>
      </c>
    </row>
    <row r="15" spans="1:11">
      <c r="A15" s="13" t="s">
        <v>12</v>
      </c>
      <c r="B15" s="14">
        <f>(1064000+78686000)/1000</f>
        <v>79750</v>
      </c>
      <c r="C15" s="14">
        <f>(1130000+80677068.07)/1000</f>
        <v>81807.068069999994</v>
      </c>
      <c r="D15" s="24">
        <f t="shared" si="0"/>
        <v>102.57939569905956</v>
      </c>
      <c r="E15" s="14">
        <f>74750000/1000</f>
        <v>74750</v>
      </c>
      <c r="F15" s="14">
        <f>78080792.2/1000</f>
        <v>78080.792199999996</v>
      </c>
      <c r="G15" s="24">
        <f t="shared" ref="G15" si="5">F15/E15*100</f>
        <v>104.45590929765886</v>
      </c>
      <c r="H15" s="47">
        <f t="shared" si="2"/>
        <v>104.45590929765886</v>
      </c>
      <c r="I15" s="10">
        <f t="shared" si="3"/>
        <v>3726.2758699999977</v>
      </c>
      <c r="J15" s="10">
        <f t="shared" si="4"/>
        <v>4.7723335855191257E-2</v>
      </c>
    </row>
    <row r="16" spans="1:11" ht="54">
      <c r="A16" s="13" t="s">
        <v>13</v>
      </c>
      <c r="B16" s="14">
        <v>0</v>
      </c>
      <c r="C16" s="14">
        <v>0</v>
      </c>
      <c r="D16" s="24">
        <v>0</v>
      </c>
      <c r="E16" s="14">
        <v>0</v>
      </c>
      <c r="F16" s="14">
        <v>0</v>
      </c>
      <c r="G16" s="9"/>
      <c r="H16" s="47">
        <v>0</v>
      </c>
      <c r="I16" s="10">
        <f t="shared" si="3"/>
        <v>0</v>
      </c>
      <c r="J16" s="10">
        <v>0</v>
      </c>
    </row>
    <row r="17" spans="1:11" ht="54">
      <c r="A17" s="13" t="s">
        <v>14</v>
      </c>
      <c r="B17" s="14">
        <f>233500000/1000</f>
        <v>233500</v>
      </c>
      <c r="C17" s="14">
        <f>250928560.64/1000</f>
        <v>250928.56063999998</v>
      </c>
      <c r="D17" s="24">
        <f t="shared" si="0"/>
        <v>107.46405166595288</v>
      </c>
      <c r="E17" s="14">
        <f>230900000/1000</f>
        <v>230900</v>
      </c>
      <c r="F17" s="14">
        <f>239544639.75/1000</f>
        <v>239544.63975</v>
      </c>
      <c r="G17" s="24">
        <f t="shared" ref="G17:G23" si="6">F17/E17*100</f>
        <v>103.74388902122132</v>
      </c>
      <c r="H17" s="47">
        <f t="shared" si="2"/>
        <v>103.74388902122132</v>
      </c>
      <c r="I17" s="10">
        <f t="shared" si="3"/>
        <v>11383.920889999979</v>
      </c>
      <c r="J17" s="10">
        <f t="shared" si="4"/>
        <v>4.7523171054383737E-2</v>
      </c>
    </row>
    <row r="18" spans="1:11" ht="36">
      <c r="A18" s="13" t="s">
        <v>15</v>
      </c>
      <c r="B18" s="14">
        <f>52000000/1000</f>
        <v>52000</v>
      </c>
      <c r="C18" s="14">
        <f>52540570.08/1000</f>
        <v>52540.570079999998</v>
      </c>
      <c r="D18" s="24">
        <f t="shared" si="0"/>
        <v>101.03955784615384</v>
      </c>
      <c r="E18" s="14">
        <f>42100000/1000</f>
        <v>42100</v>
      </c>
      <c r="F18" s="14">
        <f>42181084.66/1000</f>
        <v>42181.084659999993</v>
      </c>
      <c r="G18" s="24">
        <f t="shared" si="6"/>
        <v>100.1926001425178</v>
      </c>
      <c r="H18" s="47">
        <f t="shared" si="2"/>
        <v>100.1926001425178</v>
      </c>
      <c r="I18" s="10">
        <f t="shared" si="3"/>
        <v>10359.485420000005</v>
      </c>
      <c r="J18" s="10">
        <f>I18/F18</f>
        <v>0.24559551997068077</v>
      </c>
    </row>
    <row r="19" spans="1:11" ht="36">
      <c r="A19" s="13" t="s">
        <v>16</v>
      </c>
      <c r="B19" s="14">
        <f>9698100/1000</f>
        <v>9698.1</v>
      </c>
      <c r="C19" s="14">
        <f>11145847.25/1000</f>
        <v>11145.847250000001</v>
      </c>
      <c r="D19" s="24">
        <f t="shared" si="0"/>
        <v>114.92815345273817</v>
      </c>
      <c r="E19" s="14">
        <f>4556800/1000</f>
        <v>4556.8</v>
      </c>
      <c r="F19" s="14">
        <f>4198063.29/1000</f>
        <v>4198.0632900000001</v>
      </c>
      <c r="G19" s="24">
        <f t="shared" si="6"/>
        <v>92.127442284058986</v>
      </c>
      <c r="H19" s="47">
        <f t="shared" si="2"/>
        <v>92.127442284058986</v>
      </c>
      <c r="I19" s="10">
        <f t="shared" si="3"/>
        <v>6947.7839600000007</v>
      </c>
      <c r="J19" s="10">
        <f t="shared" si="4"/>
        <v>1.6549974309701274</v>
      </c>
    </row>
    <row r="20" spans="1:11" ht="36">
      <c r="A20" s="13" t="s">
        <v>17</v>
      </c>
      <c r="B20" s="14">
        <f>284000000/1000</f>
        <v>284000</v>
      </c>
      <c r="C20" s="14">
        <f>359907762.2/1000</f>
        <v>359907.7622</v>
      </c>
      <c r="D20" s="24">
        <f t="shared" si="0"/>
        <v>126.72808528169016</v>
      </c>
      <c r="E20" s="14">
        <f>334070000/1000</f>
        <v>334070</v>
      </c>
      <c r="F20" s="14">
        <f>357477008.54/1000</f>
        <v>357477.00854000001</v>
      </c>
      <c r="G20" s="24">
        <f t="shared" si="6"/>
        <v>107.00661793636064</v>
      </c>
      <c r="H20" s="47">
        <f t="shared" si="2"/>
        <v>107.00661793636064</v>
      </c>
      <c r="I20" s="10">
        <f t="shared" si="3"/>
        <v>2430.7536599999876</v>
      </c>
      <c r="J20" s="10">
        <f t="shared" si="4"/>
        <v>6.7997482409501517E-3</v>
      </c>
    </row>
    <row r="21" spans="1:11">
      <c r="A21" s="13" t="s">
        <v>18</v>
      </c>
      <c r="B21" s="14">
        <f>7000000/1000</f>
        <v>7000</v>
      </c>
      <c r="C21" s="14">
        <f>7195770.33/1000</f>
        <v>7195.7703300000003</v>
      </c>
      <c r="D21" s="24">
        <f t="shared" si="0"/>
        <v>102.796719</v>
      </c>
      <c r="E21" s="14">
        <f>19000000/1000</f>
        <v>19000</v>
      </c>
      <c r="F21" s="14">
        <f>16436055.85/1000</f>
        <v>16436.055850000001</v>
      </c>
      <c r="G21" s="24">
        <f t="shared" si="6"/>
        <v>86.505557105263165</v>
      </c>
      <c r="H21" s="47">
        <f t="shared" si="2"/>
        <v>86.505557105263165</v>
      </c>
      <c r="I21" s="10">
        <f t="shared" si="3"/>
        <v>-9240.2855200000013</v>
      </c>
      <c r="J21" s="10">
        <f t="shared" si="4"/>
        <v>-0.56219604048132998</v>
      </c>
    </row>
    <row r="22" spans="1:11">
      <c r="A22" s="13" t="s">
        <v>19</v>
      </c>
      <c r="B22" s="14">
        <f>14010000/1000</f>
        <v>14010</v>
      </c>
      <c r="C22" s="14">
        <f>14496687.82/1000</f>
        <v>14496.687820000001</v>
      </c>
      <c r="D22" s="24">
        <f t="shared" si="0"/>
        <v>103.47386024268381</v>
      </c>
      <c r="E22" s="14">
        <f>20000000/1000</f>
        <v>20000</v>
      </c>
      <c r="F22" s="14">
        <f>21621760.52/1000</f>
        <v>21621.76052</v>
      </c>
      <c r="G22" s="24">
        <f t="shared" si="6"/>
        <v>108.1088026</v>
      </c>
      <c r="H22" s="47">
        <f t="shared" si="2"/>
        <v>108.1088026</v>
      </c>
      <c r="I22" s="10">
        <f t="shared" si="3"/>
        <v>-7125.0726999999988</v>
      </c>
      <c r="J22" s="10">
        <f t="shared" si="4"/>
        <v>-0.3295324954417726</v>
      </c>
    </row>
    <row r="23" spans="1:11">
      <c r="A23" s="13" t="s">
        <v>20</v>
      </c>
      <c r="B23" s="14">
        <f>11444170773.25/1000</f>
        <v>11444170.773250001</v>
      </c>
      <c r="C23" s="14">
        <f>11287139457.63/1000</f>
        <v>11287139.457629999</v>
      </c>
      <c r="D23" s="24">
        <f t="shared" si="0"/>
        <v>98.627848895902076</v>
      </c>
      <c r="E23" s="14">
        <f>10596991202.32/1000</f>
        <v>10596991.20232</v>
      </c>
      <c r="F23" s="14">
        <f>10349140555.35/1000</f>
        <v>10349140.55535</v>
      </c>
      <c r="G23" s="24">
        <f t="shared" si="6"/>
        <v>97.661122461668754</v>
      </c>
      <c r="H23" s="47">
        <f t="shared" si="2"/>
        <v>97.661122461668754</v>
      </c>
      <c r="I23" s="10">
        <f t="shared" si="3"/>
        <v>937998.90227999911</v>
      </c>
      <c r="J23" s="10">
        <f t="shared" si="4"/>
        <v>9.0635439461212025E-2</v>
      </c>
    </row>
    <row r="24" spans="1:11">
      <c r="A24" s="13" t="s">
        <v>89</v>
      </c>
      <c r="B24" s="37">
        <v>0</v>
      </c>
      <c r="C24" s="37">
        <v>0</v>
      </c>
      <c r="D24" s="9">
        <v>0</v>
      </c>
      <c r="E24" s="37">
        <v>0</v>
      </c>
      <c r="F24" s="37">
        <v>0</v>
      </c>
      <c r="G24" s="9"/>
      <c r="H24" s="47">
        <v>0</v>
      </c>
      <c r="I24" s="10">
        <f t="shared" si="3"/>
        <v>0</v>
      </c>
      <c r="J24" s="10">
        <v>0</v>
      </c>
    </row>
    <row r="25" spans="1:11" ht="54">
      <c r="A25" s="13" t="s">
        <v>21</v>
      </c>
      <c r="B25" s="14">
        <f>11444170773.25/1000</f>
        <v>11444170.773250001</v>
      </c>
      <c r="C25" s="14">
        <f>11290991216.22/1000</f>
        <v>11290991.216219999</v>
      </c>
      <c r="D25" s="24">
        <f t="shared" si="0"/>
        <v>98.661505843760665</v>
      </c>
      <c r="E25" s="14">
        <f>10596991202.32/1000</f>
        <v>10596991.20232</v>
      </c>
      <c r="F25" s="14">
        <f>10395007575.32/1000</f>
        <v>10395007.57532</v>
      </c>
      <c r="G25" s="24">
        <f t="shared" ref="G25" si="7">F25/E25*100</f>
        <v>98.093953055695849</v>
      </c>
      <c r="H25" s="47">
        <f t="shared" si="2"/>
        <v>98.093953055695849</v>
      </c>
      <c r="I25" s="10">
        <f t="shared" si="3"/>
        <v>895983.64089999907</v>
      </c>
      <c r="J25" s="10">
        <f t="shared" si="4"/>
        <v>8.6193649634970768E-2</v>
      </c>
    </row>
    <row r="26" spans="1:11">
      <c r="A26" s="13" t="s">
        <v>22</v>
      </c>
      <c r="B26" s="14">
        <v>0</v>
      </c>
      <c r="C26" s="14">
        <f>500100/1000</f>
        <v>500.1</v>
      </c>
      <c r="D26" s="24">
        <v>0</v>
      </c>
      <c r="E26" s="14">
        <v>0</v>
      </c>
      <c r="F26" s="14">
        <f>2642019.85/1000</f>
        <v>2642.0198500000001</v>
      </c>
      <c r="G26" s="24">
        <v>0</v>
      </c>
      <c r="H26" s="47">
        <v>0</v>
      </c>
      <c r="I26" s="10">
        <f t="shared" si="3"/>
        <v>-2141.9198500000002</v>
      </c>
      <c r="J26" s="10">
        <f t="shared" si="4"/>
        <v>-0.8107130042948012</v>
      </c>
      <c r="K26" s="26"/>
    </row>
    <row r="27" spans="1:11" ht="108">
      <c r="A27" s="13" t="s">
        <v>23</v>
      </c>
      <c r="B27" s="14">
        <v>0</v>
      </c>
      <c r="C27" s="14">
        <f>310427.16/1000</f>
        <v>310.42715999999996</v>
      </c>
      <c r="D27" s="24">
        <v>0</v>
      </c>
      <c r="E27" s="14">
        <v>0</v>
      </c>
      <c r="F27" s="14">
        <f>520101.35/1000</f>
        <v>520.10135000000002</v>
      </c>
      <c r="G27" s="24">
        <v>0</v>
      </c>
      <c r="H27" s="47">
        <v>0</v>
      </c>
      <c r="I27" s="10">
        <f t="shared" si="3"/>
        <v>-209.67419000000007</v>
      </c>
      <c r="J27" s="10">
        <v>0</v>
      </c>
      <c r="K27" s="26"/>
    </row>
    <row r="28" spans="1:11" ht="54">
      <c r="A28" s="13" t="s">
        <v>24</v>
      </c>
      <c r="B28" s="14">
        <v>0</v>
      </c>
      <c r="C28" s="14">
        <f>-9424571.5/1000</f>
        <v>-9424.5715</v>
      </c>
      <c r="D28" s="24">
        <v>0</v>
      </c>
      <c r="E28" s="14">
        <v>0</v>
      </c>
      <c r="F28" s="14">
        <f>-49029141.17/1000</f>
        <v>-49029.141170000003</v>
      </c>
      <c r="G28" s="24">
        <v>0</v>
      </c>
      <c r="H28" s="47">
        <v>0</v>
      </c>
      <c r="I28" s="10">
        <f t="shared" si="3"/>
        <v>39604.569670000004</v>
      </c>
      <c r="J28" s="10">
        <f t="shared" si="4"/>
        <v>-0.80777612507382213</v>
      </c>
    </row>
    <row r="29" spans="1:11" s="15" customFormat="1">
      <c r="A29" s="28" t="s">
        <v>25</v>
      </c>
      <c r="B29" s="14">
        <f>19739885835.09/1000</f>
        <v>19739885.83509</v>
      </c>
      <c r="C29" s="14">
        <f>18284849417.07/1000</f>
        <v>18284849.417070001</v>
      </c>
      <c r="D29" s="24">
        <f t="shared" si="0"/>
        <v>92.628952212917568</v>
      </c>
      <c r="E29" s="14">
        <f>16629291689.39/1000</f>
        <v>16629291.68939</v>
      </c>
      <c r="F29" s="14">
        <f>15962260116.22/1000</f>
        <v>15962260.116219999</v>
      </c>
      <c r="G29" s="24">
        <f t="shared" ref="G29" si="8">F29/E29*100</f>
        <v>95.988815485174356</v>
      </c>
      <c r="H29" s="47">
        <f t="shared" si="2"/>
        <v>95.988815485174356</v>
      </c>
      <c r="I29" s="10">
        <f t="shared" si="3"/>
        <v>2322589.3008500021</v>
      </c>
      <c r="J29" s="10">
        <f t="shared" si="4"/>
        <v>0.145505040259926</v>
      </c>
    </row>
    <row r="30" spans="1:11" s="15" customFormat="1">
      <c r="A30" s="29" t="s">
        <v>8</v>
      </c>
      <c r="B30" s="27"/>
      <c r="C30" s="27"/>
      <c r="D30" s="24"/>
      <c r="E30" s="27"/>
      <c r="F30" s="27"/>
      <c r="G30" s="24"/>
      <c r="H30" s="47"/>
      <c r="I30" s="10"/>
      <c r="J30" s="10"/>
    </row>
    <row r="31" spans="1:11" s="15" customFormat="1">
      <c r="A31" s="13" t="s">
        <v>26</v>
      </c>
      <c r="B31" s="14">
        <f>SUM(B32:B39)</f>
        <v>1182692.6601199999</v>
      </c>
      <c r="C31" s="14">
        <f>SUM(C32:C39)</f>
        <v>954217.04472999997</v>
      </c>
      <c r="D31" s="24">
        <f t="shared" si="0"/>
        <v>80.681742341512631</v>
      </c>
      <c r="E31" s="14">
        <f>983269615.73/1000</f>
        <v>983269.61572999996</v>
      </c>
      <c r="F31" s="14">
        <f>844101004.72/1000</f>
        <v>844101.00472000008</v>
      </c>
      <c r="G31" s="24">
        <f t="shared" ref="G31" si="9">F31/E31*100</f>
        <v>85.846342774796497</v>
      </c>
      <c r="H31" s="47">
        <f t="shared" si="2"/>
        <v>85.846342774796497</v>
      </c>
      <c r="I31" s="10">
        <f t="shared" si="3"/>
        <v>110116.04000999988</v>
      </c>
      <c r="J31" s="10">
        <f t="shared" si="4"/>
        <v>0.13045362983133385</v>
      </c>
      <c r="K31" s="30"/>
    </row>
    <row r="32" spans="1:11" s="15" customFormat="1" ht="36">
      <c r="A32" s="13" t="s">
        <v>27</v>
      </c>
      <c r="B32" s="37">
        <v>0</v>
      </c>
      <c r="C32" s="37">
        <v>0</v>
      </c>
      <c r="D32" s="19"/>
      <c r="E32" s="37">
        <v>0</v>
      </c>
      <c r="F32" s="37">
        <v>0</v>
      </c>
      <c r="G32" s="19"/>
      <c r="H32" s="47">
        <v>0</v>
      </c>
      <c r="I32" s="10">
        <f t="shared" si="3"/>
        <v>0</v>
      </c>
      <c r="J32" s="10">
        <v>0</v>
      </c>
      <c r="K32" s="30"/>
    </row>
    <row r="33" spans="1:11" s="15" customFormat="1" ht="54">
      <c r="A33" s="13" t="s">
        <v>28</v>
      </c>
      <c r="B33" s="14">
        <f>21911283.4/1000</f>
        <v>21911.2834</v>
      </c>
      <c r="C33" s="14">
        <f>17507875.77/1000</f>
        <v>17507.875769999999</v>
      </c>
      <c r="D33" s="24">
        <f t="shared" si="0"/>
        <v>79.903470054154837</v>
      </c>
      <c r="E33" s="14">
        <f>24234251.12/1000</f>
        <v>24234.251120000001</v>
      </c>
      <c r="F33" s="14">
        <f>18005118.64/1000</f>
        <v>18005.118640000001</v>
      </c>
      <c r="G33" s="24">
        <f t="shared" ref="G33:G36" si="10">F33/E33*100</f>
        <v>74.29616269487596</v>
      </c>
      <c r="H33" s="47">
        <f t="shared" si="2"/>
        <v>74.29616269487596</v>
      </c>
      <c r="I33" s="10">
        <f t="shared" si="3"/>
        <v>-497.24287000000186</v>
      </c>
      <c r="J33" s="10">
        <f t="shared" si="4"/>
        <v>-2.761675054422201E-2</v>
      </c>
      <c r="K33" s="30"/>
    </row>
    <row r="34" spans="1:11" s="15" customFormat="1" ht="54">
      <c r="A34" s="13" t="s">
        <v>29</v>
      </c>
      <c r="B34" s="14">
        <f>330991042.27/1000</f>
        <v>330991.04226999998</v>
      </c>
      <c r="C34" s="14">
        <f>326213364.3/1000</f>
        <v>326213.36430000002</v>
      </c>
      <c r="D34" s="24">
        <f t="shared" si="0"/>
        <v>98.5565536948572</v>
      </c>
      <c r="E34" s="14">
        <f>313358633.4/1000</f>
        <v>313358.63339999999</v>
      </c>
      <c r="F34" s="14">
        <f>289849337.25/1000</f>
        <v>289849.33724999998</v>
      </c>
      <c r="G34" s="24">
        <f t="shared" si="10"/>
        <v>92.497638920964221</v>
      </c>
      <c r="H34" s="47">
        <f t="shared" si="2"/>
        <v>92.497638920964221</v>
      </c>
      <c r="I34" s="10">
        <f t="shared" si="3"/>
        <v>36364.027050000033</v>
      </c>
      <c r="J34" s="10">
        <f t="shared" si="4"/>
        <v>0.12545837570308274</v>
      </c>
    </row>
    <row r="35" spans="1:11" s="15" customFormat="1">
      <c r="A35" s="13" t="s">
        <v>30</v>
      </c>
      <c r="B35" s="14">
        <f>944700/1000</f>
        <v>944.7</v>
      </c>
      <c r="C35" s="14">
        <f>530151.7/1000</f>
        <v>530.15170000000001</v>
      </c>
      <c r="D35" s="24">
        <f t="shared" si="0"/>
        <v>56.11852439928019</v>
      </c>
      <c r="E35" s="14">
        <f>496900/1000</f>
        <v>496.9</v>
      </c>
      <c r="F35" s="14">
        <f>419780/1000</f>
        <v>419.78</v>
      </c>
      <c r="G35" s="24">
        <f t="shared" si="10"/>
        <v>84.479774602535713</v>
      </c>
      <c r="H35" s="47">
        <f t="shared" si="2"/>
        <v>84.479774602535713</v>
      </c>
      <c r="I35" s="10">
        <f t="shared" si="3"/>
        <v>110.37170000000003</v>
      </c>
      <c r="J35" s="10">
        <f t="shared" si="4"/>
        <v>0.26292748582590891</v>
      </c>
    </row>
    <row r="36" spans="1:11" s="15" customFormat="1" ht="54">
      <c r="A36" s="13" t="s">
        <v>31</v>
      </c>
      <c r="B36" s="14">
        <f>68883219.7/1000</f>
        <v>68883.219700000001</v>
      </c>
      <c r="C36" s="14">
        <f>65669054.15/1000</f>
        <v>65669.054149999996</v>
      </c>
      <c r="D36" s="24">
        <f t="shared" si="0"/>
        <v>95.333891818648524</v>
      </c>
      <c r="E36" s="14">
        <f>58088493.02/1000</f>
        <v>58088.493020000002</v>
      </c>
      <c r="F36" s="14">
        <f>56488361.3/1000</f>
        <v>56488.361299999997</v>
      </c>
      <c r="G36" s="24">
        <f t="shared" si="10"/>
        <v>97.245355083580705</v>
      </c>
      <c r="H36" s="47">
        <f t="shared" si="2"/>
        <v>97.245355083580705</v>
      </c>
      <c r="I36" s="10">
        <f t="shared" si="3"/>
        <v>9180.6928499999995</v>
      </c>
      <c r="J36" s="10">
        <f t="shared" si="4"/>
        <v>0.16252361794039155</v>
      </c>
    </row>
    <row r="37" spans="1:11" s="15" customFormat="1">
      <c r="A37" s="13" t="s">
        <v>32</v>
      </c>
      <c r="B37" s="37">
        <v>0</v>
      </c>
      <c r="C37" s="37">
        <v>0</v>
      </c>
      <c r="D37" s="19"/>
      <c r="E37" s="37">
        <v>0</v>
      </c>
      <c r="F37" s="37">
        <v>0</v>
      </c>
      <c r="G37" s="19"/>
      <c r="H37" s="47">
        <v>0</v>
      </c>
      <c r="I37" s="10">
        <f t="shared" si="3"/>
        <v>0</v>
      </c>
      <c r="J37" s="10">
        <v>0</v>
      </c>
    </row>
    <row r="38" spans="1:11" s="15" customFormat="1">
      <c r="A38" s="13" t="s">
        <v>33</v>
      </c>
      <c r="B38" s="14">
        <f>58920912.08/1000</f>
        <v>58920.912079999995</v>
      </c>
      <c r="C38" s="14">
        <v>0</v>
      </c>
      <c r="D38" s="24">
        <f t="shared" si="0"/>
        <v>0</v>
      </c>
      <c r="E38" s="14">
        <f>26024434.3/1000</f>
        <v>26024.434300000001</v>
      </c>
      <c r="F38" s="14">
        <v>0</v>
      </c>
      <c r="G38" s="24">
        <f t="shared" ref="G38:G39" si="11">F38/E38*100</f>
        <v>0</v>
      </c>
      <c r="H38" s="47">
        <f t="shared" si="2"/>
        <v>0</v>
      </c>
      <c r="I38" s="10">
        <f t="shared" si="3"/>
        <v>0</v>
      </c>
      <c r="J38" s="10">
        <v>0</v>
      </c>
    </row>
    <row r="39" spans="1:11" s="15" customFormat="1">
      <c r="A39" s="13" t="s">
        <v>34</v>
      </c>
      <c r="B39" s="14">
        <f>701041502.67/1000</f>
        <v>701041.50266999996</v>
      </c>
      <c r="C39" s="14">
        <f>544296598.81/1000</f>
        <v>544296.59881</v>
      </c>
      <c r="D39" s="24">
        <f t="shared" si="0"/>
        <v>77.641137755322859</v>
      </c>
      <c r="E39" s="14">
        <f>561066903.89/1000</f>
        <v>561066.90388999996</v>
      </c>
      <c r="F39" s="14">
        <f>479338407.53/1000</f>
        <v>479338.40752999997</v>
      </c>
      <c r="G39" s="24">
        <f t="shared" si="11"/>
        <v>85.433377767721026</v>
      </c>
      <c r="H39" s="47">
        <f t="shared" si="2"/>
        <v>85.433377767721026</v>
      </c>
      <c r="I39" s="10">
        <f t="shared" si="3"/>
        <v>64958.191280000028</v>
      </c>
      <c r="J39" s="10">
        <f t="shared" si="4"/>
        <v>0.13551634974281618</v>
      </c>
    </row>
    <row r="40" spans="1:11" s="15" customFormat="1">
      <c r="A40" s="13" t="s">
        <v>35</v>
      </c>
      <c r="B40" s="37">
        <v>0</v>
      </c>
      <c r="C40" s="37">
        <v>0</v>
      </c>
      <c r="D40" s="19"/>
      <c r="E40" s="37">
        <v>0</v>
      </c>
      <c r="F40" s="37">
        <v>0</v>
      </c>
      <c r="G40" s="19"/>
      <c r="H40" s="47">
        <v>0</v>
      </c>
      <c r="I40" s="10">
        <f t="shared" si="3"/>
        <v>0</v>
      </c>
      <c r="J40" s="10">
        <v>0</v>
      </c>
    </row>
    <row r="41" spans="1:11" s="15" customFormat="1">
      <c r="A41" s="13" t="s">
        <v>36</v>
      </c>
      <c r="B41" s="37">
        <v>0</v>
      </c>
      <c r="C41" s="37">
        <v>0</v>
      </c>
      <c r="D41" s="19"/>
      <c r="E41" s="37">
        <v>0</v>
      </c>
      <c r="F41" s="37">
        <v>0</v>
      </c>
      <c r="G41" s="19"/>
      <c r="H41" s="47">
        <v>0</v>
      </c>
      <c r="I41" s="10">
        <f t="shared" si="3"/>
        <v>0</v>
      </c>
      <c r="J41" s="10">
        <v>0</v>
      </c>
    </row>
    <row r="42" spans="1:11" s="15" customFormat="1" ht="36">
      <c r="A42" s="13" t="s">
        <v>37</v>
      </c>
      <c r="B42" s="14">
        <f>SUM(B43:B45)</f>
        <v>29620.112999999998</v>
      </c>
      <c r="C42" s="14">
        <f>SUM(C43:C45)</f>
        <v>27154.775309999997</v>
      </c>
      <c r="D42" s="24">
        <f t="shared" si="0"/>
        <v>91.676812002709113</v>
      </c>
      <c r="E42" s="14">
        <f>12979090/1000</f>
        <v>12979.09</v>
      </c>
      <c r="F42" s="14">
        <f>12772383/1000</f>
        <v>12772.383</v>
      </c>
      <c r="G42" s="24">
        <f t="shared" ref="G42:G43" si="12">F42/E42*100</f>
        <v>98.407384493057677</v>
      </c>
      <c r="H42" s="47">
        <f t="shared" si="2"/>
        <v>98.407384493057677</v>
      </c>
      <c r="I42" s="10">
        <f t="shared" si="3"/>
        <v>14382.392309999997</v>
      </c>
      <c r="J42" s="10">
        <f t="shared" si="4"/>
        <v>1.1260539485857883</v>
      </c>
    </row>
    <row r="43" spans="1:11" s="15" customFormat="1" ht="36">
      <c r="A43" s="13" t="s">
        <v>38</v>
      </c>
      <c r="B43" s="14">
        <f>14090000/1000</f>
        <v>14090</v>
      </c>
      <c r="C43" s="14">
        <f>11624662.31/1000</f>
        <v>11624.66231</v>
      </c>
      <c r="D43" s="24">
        <f t="shared" si="0"/>
        <v>82.502926259758695</v>
      </c>
      <c r="E43" s="14">
        <f>2490000/1000</f>
        <v>2490</v>
      </c>
      <c r="F43" s="14">
        <f>2283293/1000</f>
        <v>2283.2930000000001</v>
      </c>
      <c r="G43" s="24">
        <f t="shared" si="12"/>
        <v>91.698514056224894</v>
      </c>
      <c r="H43" s="47">
        <f t="shared" si="2"/>
        <v>91.698514056224894</v>
      </c>
      <c r="I43" s="10">
        <f t="shared" si="3"/>
        <v>9341.36931</v>
      </c>
      <c r="J43" s="10">
        <f t="shared" si="4"/>
        <v>4.0911829143259313</v>
      </c>
    </row>
    <row r="44" spans="1:11" s="15" customFormat="1">
      <c r="A44" s="13" t="s">
        <v>39</v>
      </c>
      <c r="B44" s="37">
        <v>0</v>
      </c>
      <c r="C44" s="37">
        <f>SUM(B44)</f>
        <v>0</v>
      </c>
      <c r="D44" s="19"/>
      <c r="E44" s="37">
        <v>0</v>
      </c>
      <c r="F44" s="37">
        <v>0</v>
      </c>
      <c r="G44" s="19"/>
      <c r="H44" s="47">
        <v>0</v>
      </c>
      <c r="I44" s="10">
        <f t="shared" si="3"/>
        <v>0</v>
      </c>
      <c r="J44" s="10">
        <v>0</v>
      </c>
    </row>
    <row r="45" spans="1:11" s="15" customFormat="1" ht="36">
      <c r="A45" s="13" t="s">
        <v>40</v>
      </c>
      <c r="B45" s="14">
        <f>15530113/1000</f>
        <v>15530.112999999999</v>
      </c>
      <c r="C45" s="14">
        <f>15530113/1000</f>
        <v>15530.112999999999</v>
      </c>
      <c r="D45" s="24">
        <f t="shared" si="0"/>
        <v>100</v>
      </c>
      <c r="E45" s="14">
        <f>10489090/1000</f>
        <v>10489.09</v>
      </c>
      <c r="F45" s="14">
        <f>10489090/1000</f>
        <v>10489.09</v>
      </c>
      <c r="G45" s="24">
        <f t="shared" ref="G45:G46" si="13">F45/E45*100</f>
        <v>100</v>
      </c>
      <c r="H45" s="47">
        <f t="shared" si="2"/>
        <v>100</v>
      </c>
      <c r="I45" s="10">
        <f t="shared" si="3"/>
        <v>5041.0229999999992</v>
      </c>
      <c r="J45" s="10">
        <f t="shared" si="4"/>
        <v>0.4805967915233828</v>
      </c>
    </row>
    <row r="46" spans="1:11" s="15" customFormat="1">
      <c r="A46" s="13" t="s">
        <v>41</v>
      </c>
      <c r="B46" s="14">
        <f>SUM(B47:B52)</f>
        <v>166199.14819000001</v>
      </c>
      <c r="C46" s="14">
        <f>SUM(C47:C52)</f>
        <v>152317.27077</v>
      </c>
      <c r="D46" s="24">
        <f t="shared" si="0"/>
        <v>91.647443701618641</v>
      </c>
      <c r="E46" s="14">
        <f>150460561.3/1000</f>
        <v>150460.5613</v>
      </c>
      <c r="F46" s="14">
        <f>142392201.33/1000</f>
        <v>142392.20133000001</v>
      </c>
      <c r="G46" s="24">
        <f t="shared" si="13"/>
        <v>94.637558240984717</v>
      </c>
      <c r="H46" s="47">
        <f t="shared" si="2"/>
        <v>94.637558240984717</v>
      </c>
      <c r="I46" s="10">
        <f t="shared" si="3"/>
        <v>9925.069439999992</v>
      </c>
      <c r="J46" s="10">
        <f t="shared" si="4"/>
        <v>6.9702338662482086E-2</v>
      </c>
    </row>
    <row r="47" spans="1:11" s="15" customFormat="1">
      <c r="A47" s="13" t="s">
        <v>42</v>
      </c>
      <c r="B47" s="37">
        <v>0</v>
      </c>
      <c r="C47" s="37">
        <v>0</v>
      </c>
      <c r="D47" s="19"/>
      <c r="E47" s="37">
        <v>0</v>
      </c>
      <c r="F47" s="37">
        <v>0</v>
      </c>
      <c r="G47" s="19"/>
      <c r="H47" s="47">
        <v>0</v>
      </c>
      <c r="I47" s="10">
        <f t="shared" si="3"/>
        <v>0</v>
      </c>
      <c r="J47" s="10">
        <v>0</v>
      </c>
    </row>
    <row r="48" spans="1:11" s="15" customFormat="1">
      <c r="A48" s="13" t="s">
        <v>43</v>
      </c>
      <c r="B48" s="14">
        <f>15284000/1000</f>
        <v>15284</v>
      </c>
      <c r="C48" s="14">
        <f>15284000/1000</f>
        <v>15284</v>
      </c>
      <c r="D48" s="24">
        <f t="shared" si="0"/>
        <v>100</v>
      </c>
      <c r="E48" s="14">
        <f>15530000/1000</f>
        <v>15530</v>
      </c>
      <c r="F48" s="14">
        <f>15530000/1000</f>
        <v>15530</v>
      </c>
      <c r="G48" s="24">
        <f t="shared" ref="G48" si="14">F48/E48*100</f>
        <v>100</v>
      </c>
      <c r="H48" s="47">
        <f t="shared" si="2"/>
        <v>100</v>
      </c>
      <c r="I48" s="10">
        <f t="shared" si="3"/>
        <v>-246</v>
      </c>
      <c r="J48" s="10">
        <f t="shared" si="4"/>
        <v>-1.5840309079201545E-2</v>
      </c>
    </row>
    <row r="49" spans="1:10" s="15" customFormat="1">
      <c r="A49" s="13" t="s">
        <v>87</v>
      </c>
      <c r="B49" s="37">
        <v>0</v>
      </c>
      <c r="C49" s="37">
        <v>0</v>
      </c>
      <c r="D49" s="19"/>
      <c r="E49" s="37">
        <v>0</v>
      </c>
      <c r="F49" s="37">
        <v>0</v>
      </c>
      <c r="G49" s="19"/>
      <c r="H49" s="47">
        <v>0</v>
      </c>
      <c r="I49" s="10">
        <f t="shared" si="3"/>
        <v>0</v>
      </c>
      <c r="J49" s="10">
        <v>0</v>
      </c>
    </row>
    <row r="50" spans="1:10" s="15" customFormat="1">
      <c r="A50" s="13" t="s">
        <v>44</v>
      </c>
      <c r="B50" s="14">
        <f>53633272.05/1000</f>
        <v>53633.27205</v>
      </c>
      <c r="C50" s="14">
        <f>48393287.43/1000</f>
        <v>48393.287429999997</v>
      </c>
      <c r="D50" s="24">
        <f t="shared" si="0"/>
        <v>90.229974007338214</v>
      </c>
      <c r="E50" s="14">
        <f>50378559/1000</f>
        <v>50378.559000000001</v>
      </c>
      <c r="F50" s="14">
        <f>47118952.55/1000</f>
        <v>47118.952549999995</v>
      </c>
      <c r="G50" s="24">
        <f t="shared" ref="G50:G68" si="15">F50/E50*100</f>
        <v>93.529774343089073</v>
      </c>
      <c r="H50" s="47">
        <f t="shared" si="2"/>
        <v>93.529774343089073</v>
      </c>
      <c r="I50" s="10">
        <f t="shared" si="3"/>
        <v>1274.3348800000022</v>
      </c>
      <c r="J50" s="10">
        <f t="shared" si="4"/>
        <v>2.7045059599908324E-2</v>
      </c>
    </row>
    <row r="51" spans="1:10" s="15" customFormat="1">
      <c r="A51" s="13" t="s">
        <v>45</v>
      </c>
      <c r="B51" s="14">
        <f>5400000/1000</f>
        <v>5400</v>
      </c>
      <c r="C51" s="14">
        <f>5400000/1000</f>
        <v>5400</v>
      </c>
      <c r="D51" s="24">
        <f t="shared" si="0"/>
        <v>100</v>
      </c>
      <c r="E51" s="14">
        <f>5300000/1000</f>
        <v>5300</v>
      </c>
      <c r="F51" s="14">
        <f>5300000/1000</f>
        <v>5300</v>
      </c>
      <c r="G51" s="24">
        <f t="shared" si="15"/>
        <v>100</v>
      </c>
      <c r="H51" s="47">
        <f t="shared" si="2"/>
        <v>100</v>
      </c>
      <c r="I51" s="10">
        <f t="shared" si="3"/>
        <v>100</v>
      </c>
      <c r="J51" s="10">
        <f t="shared" si="4"/>
        <v>1.8867924528301886E-2</v>
      </c>
    </row>
    <row r="52" spans="1:10" s="15" customFormat="1">
      <c r="A52" s="13" t="s">
        <v>46</v>
      </c>
      <c r="B52" s="14">
        <f>91881876.14/1000</f>
        <v>91881.876140000008</v>
      </c>
      <c r="C52" s="14">
        <f>83239983.34/1000</f>
        <v>83239.983340000006</v>
      </c>
      <c r="D52" s="24">
        <f t="shared" si="0"/>
        <v>90.594562101853043</v>
      </c>
      <c r="E52" s="14">
        <f>79252002.3/1000</f>
        <v>79252.002299999993</v>
      </c>
      <c r="F52" s="14">
        <f>74443248.78/1000</f>
        <v>74443.248779999994</v>
      </c>
      <c r="G52" s="24">
        <f t="shared" si="15"/>
        <v>93.932325518039306</v>
      </c>
      <c r="H52" s="47">
        <f t="shared" si="2"/>
        <v>93.932325518039306</v>
      </c>
      <c r="I52" s="10">
        <f t="shared" si="3"/>
        <v>8796.7345600000117</v>
      </c>
      <c r="J52" s="10">
        <f t="shared" si="4"/>
        <v>0.11816698900388872</v>
      </c>
    </row>
    <row r="53" spans="1:10" s="15" customFormat="1">
      <c r="A53" s="13" t="s">
        <v>47</v>
      </c>
      <c r="B53" s="14">
        <f>SUM(B54:B57)</f>
        <v>58670.484179999999</v>
      </c>
      <c r="C53" s="14">
        <f>SUM(C54:C57)</f>
        <v>30873.504839999998</v>
      </c>
      <c r="D53" s="24">
        <f t="shared" si="0"/>
        <v>52.621868170169918</v>
      </c>
      <c r="E53" s="14">
        <f>53070426.76/1000</f>
        <v>53070.426759999995</v>
      </c>
      <c r="F53" s="14">
        <f>17344352.74/1000</f>
        <v>17344.352739999998</v>
      </c>
      <c r="G53" s="24">
        <f t="shared" si="15"/>
        <v>32.681766096278515</v>
      </c>
      <c r="H53" s="47">
        <f t="shared" si="2"/>
        <v>32.681766096278515</v>
      </c>
      <c r="I53" s="10">
        <f t="shared" si="3"/>
        <v>13529.152099999999</v>
      </c>
      <c r="J53" s="10">
        <f t="shared" si="4"/>
        <v>0.78003211205447387</v>
      </c>
    </row>
    <row r="54" spans="1:10" s="15" customFormat="1">
      <c r="A54" s="13" t="s">
        <v>48</v>
      </c>
      <c r="B54" s="14">
        <f>3025110/1000</f>
        <v>3025.11</v>
      </c>
      <c r="C54" s="14">
        <f>696573.22/1000</f>
        <v>696.57321999999999</v>
      </c>
      <c r="D54" s="24">
        <f t="shared" si="0"/>
        <v>23.026376561513466</v>
      </c>
      <c r="E54" s="14">
        <f>3658632.27/1000</f>
        <v>3658.6322700000001</v>
      </c>
      <c r="F54" s="14">
        <f>1707138.34/1000</f>
        <v>1707.13834</v>
      </c>
      <c r="G54" s="24">
        <f t="shared" si="15"/>
        <v>46.660560942354557</v>
      </c>
      <c r="H54" s="47">
        <f t="shared" si="2"/>
        <v>46.660560942354557</v>
      </c>
      <c r="I54" s="10">
        <f t="shared" si="3"/>
        <v>-1010.56512</v>
      </c>
      <c r="J54" s="10">
        <f t="shared" si="4"/>
        <v>-0.59196439815182167</v>
      </c>
    </row>
    <row r="55" spans="1:10" s="15" customFormat="1">
      <c r="A55" s="13" t="s">
        <v>49</v>
      </c>
      <c r="B55" s="14">
        <f>33549454.46/1000</f>
        <v>33549.454460000001</v>
      </c>
      <c r="C55" s="14">
        <f>8081066.8/1000</f>
        <v>8081.0667999999996</v>
      </c>
      <c r="D55" s="24">
        <f t="shared" si="0"/>
        <v>24.087028925119515</v>
      </c>
      <c r="E55" s="14">
        <f>33365599.73/1000</f>
        <v>33365.599730000002</v>
      </c>
      <c r="F55" s="14">
        <f>881030.64/1000</f>
        <v>881.03064000000006</v>
      </c>
      <c r="G55" s="24">
        <f t="shared" si="15"/>
        <v>2.6405359026345905</v>
      </c>
      <c r="H55" s="47">
        <f t="shared" si="2"/>
        <v>2.6405359026345905</v>
      </c>
      <c r="I55" s="10">
        <f t="shared" si="3"/>
        <v>7200.0361599999997</v>
      </c>
      <c r="J55" s="10">
        <f t="shared" si="4"/>
        <v>8.1722880375647318</v>
      </c>
    </row>
    <row r="56" spans="1:10" s="15" customFormat="1">
      <c r="A56" s="13" t="s">
        <v>50</v>
      </c>
      <c r="B56" s="14">
        <v>0</v>
      </c>
      <c r="C56" s="14">
        <v>0</v>
      </c>
      <c r="D56" s="24" t="e">
        <f t="shared" si="0"/>
        <v>#DIV/0!</v>
      </c>
      <c r="E56" s="14">
        <f>389975/1000</f>
        <v>389.97500000000002</v>
      </c>
      <c r="F56" s="14">
        <v>0</v>
      </c>
      <c r="G56" s="24">
        <f t="shared" si="15"/>
        <v>0</v>
      </c>
      <c r="H56" s="47">
        <f t="shared" si="2"/>
        <v>0</v>
      </c>
      <c r="I56" s="10">
        <f t="shared" si="3"/>
        <v>0</v>
      </c>
      <c r="J56" s="10" t="e">
        <f t="shared" si="4"/>
        <v>#DIV/0!</v>
      </c>
    </row>
    <row r="57" spans="1:10" s="15" customFormat="1" ht="36">
      <c r="A57" s="13" t="s">
        <v>51</v>
      </c>
      <c r="B57" s="14">
        <f>22095919.72/1000</f>
        <v>22095.919719999998</v>
      </c>
      <c r="C57" s="14">
        <f>22095864.82/1000</f>
        <v>22095.864819999999</v>
      </c>
      <c r="D57" s="24">
        <f t="shared" si="0"/>
        <v>99.999751537837327</v>
      </c>
      <c r="E57" s="14">
        <f>15656219.76/1000</f>
        <v>15656.21976</v>
      </c>
      <c r="F57" s="14">
        <f>14756183.76/1000</f>
        <v>14756.18376</v>
      </c>
      <c r="G57" s="24">
        <f t="shared" si="15"/>
        <v>94.251255962186363</v>
      </c>
      <c r="H57" s="47">
        <f t="shared" si="2"/>
        <v>94.251255962186363</v>
      </c>
      <c r="I57" s="10">
        <f t="shared" si="3"/>
        <v>7339.681059999999</v>
      </c>
      <c r="J57" s="10">
        <f t="shared" si="4"/>
        <v>0.49739696790005272</v>
      </c>
    </row>
    <row r="58" spans="1:10" s="15" customFormat="1">
      <c r="A58" s="13" t="s">
        <v>52</v>
      </c>
      <c r="B58" s="14">
        <f>SUM(B59)</f>
        <v>4499.7947000000004</v>
      </c>
      <c r="C58" s="14">
        <f>SUM(C59)</f>
        <v>4499.7947000000004</v>
      </c>
      <c r="D58" s="24">
        <f t="shared" si="0"/>
        <v>100</v>
      </c>
      <c r="E58" s="14">
        <f>10111111.11/1000</f>
        <v>10111.11111</v>
      </c>
      <c r="F58" s="14">
        <f>10110184.2/1000</f>
        <v>10110.1842</v>
      </c>
      <c r="G58" s="24">
        <f t="shared" si="15"/>
        <v>99.990832758240742</v>
      </c>
      <c r="H58" s="47">
        <f t="shared" si="2"/>
        <v>99.990832758240742</v>
      </c>
      <c r="I58" s="10">
        <f t="shared" si="3"/>
        <v>-5610.3894999999993</v>
      </c>
      <c r="J58" s="10">
        <f t="shared" si="4"/>
        <v>-0.55492455814998898</v>
      </c>
    </row>
    <row r="59" spans="1:10" s="15" customFormat="1">
      <c r="A59" s="13" t="s">
        <v>53</v>
      </c>
      <c r="B59" s="14">
        <f>4499794.7/1000</f>
        <v>4499.7947000000004</v>
      </c>
      <c r="C59" s="14">
        <f>4499794.7/1000</f>
        <v>4499.7947000000004</v>
      </c>
      <c r="D59" s="24">
        <f t="shared" si="0"/>
        <v>100</v>
      </c>
      <c r="E59" s="14">
        <f>10111111.11/1000</f>
        <v>10111.11111</v>
      </c>
      <c r="F59" s="14">
        <f>10110184.2/1000</f>
        <v>10110.1842</v>
      </c>
      <c r="G59" s="24">
        <f t="shared" si="15"/>
        <v>99.990832758240742</v>
      </c>
      <c r="H59" s="47">
        <f t="shared" ref="H59" si="16">F59/E59*100</f>
        <v>99.990832758240742</v>
      </c>
      <c r="I59" s="10">
        <f t="shared" si="3"/>
        <v>-5610.3894999999993</v>
      </c>
      <c r="J59" s="10">
        <f t="shared" si="4"/>
        <v>-0.55492455814998898</v>
      </c>
    </row>
    <row r="60" spans="1:10" s="15" customFormat="1">
      <c r="A60" s="13" t="s">
        <v>54</v>
      </c>
      <c r="B60" s="14">
        <f>SUM(B61:B66)</f>
        <v>14336212.6905</v>
      </c>
      <c r="C60" s="14">
        <f>SUM(C61:C66)</f>
        <v>13781872.236989999</v>
      </c>
      <c r="D60" s="24">
        <f t="shared" si="0"/>
        <v>96.133285230363953</v>
      </c>
      <c r="E60" s="14">
        <f>12827575139.64/1000</f>
        <v>12827575.13964</v>
      </c>
      <c r="F60" s="14">
        <f>12631930866.1/1000</f>
        <v>12631930.8661</v>
      </c>
      <c r="G60" s="24">
        <f t="shared" si="15"/>
        <v>98.474814831250399</v>
      </c>
      <c r="H60" s="47">
        <f t="shared" si="2"/>
        <v>98.474814831250399</v>
      </c>
      <c r="I60" s="10">
        <f t="shared" si="3"/>
        <v>1149941.370889999</v>
      </c>
      <c r="J60" s="10">
        <f t="shared" si="4"/>
        <v>9.1034488953392556E-2</v>
      </c>
    </row>
    <row r="61" spans="1:10" s="15" customFormat="1">
      <c r="A61" s="13" t="s">
        <v>55</v>
      </c>
      <c r="B61" s="14">
        <f>5677313560.38/1000</f>
        <v>5677313.5603799997</v>
      </c>
      <c r="C61" s="14">
        <f>5594273556.1/1000</f>
        <v>5594273.5561000006</v>
      </c>
      <c r="D61" s="24">
        <f t="shared" si="0"/>
        <v>98.537336305334506</v>
      </c>
      <c r="E61" s="14">
        <f>4867372510.43/1000</f>
        <v>4867372.5104300007</v>
      </c>
      <c r="F61" s="14">
        <f>4797298111.4/1000</f>
        <v>4797298.1113999998</v>
      </c>
      <c r="G61" s="24">
        <f t="shared" si="15"/>
        <v>98.560323893849457</v>
      </c>
      <c r="H61" s="47">
        <f t="shared" si="2"/>
        <v>98.560323893849457</v>
      </c>
      <c r="I61" s="10">
        <f t="shared" si="3"/>
        <v>796975.44470000081</v>
      </c>
      <c r="J61" s="10">
        <f t="shared" si="4"/>
        <v>0.16613006450570961</v>
      </c>
    </row>
    <row r="62" spans="1:10" s="15" customFormat="1">
      <c r="A62" s="13" t="s">
        <v>56</v>
      </c>
      <c r="B62" s="14">
        <f>7216486299.63/1000</f>
        <v>7216486.2996300003</v>
      </c>
      <c r="C62" s="14">
        <f>6846474274.56/1000</f>
        <v>6846474.2745600007</v>
      </c>
      <c r="D62" s="24">
        <f t="shared" si="0"/>
        <v>94.872684438007298</v>
      </c>
      <c r="E62" s="14">
        <f>6855065660.25/1000</f>
        <v>6855065.6602499997</v>
      </c>
      <c r="F62" s="14">
        <f>6736860687.69/1000</f>
        <v>6736860.6876899991</v>
      </c>
      <c r="G62" s="24">
        <f t="shared" si="15"/>
        <v>98.275655137113745</v>
      </c>
      <c r="H62" s="47">
        <f t="shared" si="2"/>
        <v>98.275655137113745</v>
      </c>
      <c r="I62" s="10">
        <f t="shared" si="3"/>
        <v>109613.58687000163</v>
      </c>
      <c r="J62" s="10">
        <f t="shared" si="4"/>
        <v>1.6270721921011998E-2</v>
      </c>
    </row>
    <row r="63" spans="1:10" s="15" customFormat="1">
      <c r="A63" s="13" t="s">
        <v>57</v>
      </c>
      <c r="B63" s="14">
        <f>855387166.61/1000</f>
        <v>855387.16660999996</v>
      </c>
      <c r="C63" s="14">
        <f>849313109.41/1000</f>
        <v>849313.10940999992</v>
      </c>
      <c r="D63" s="24">
        <f t="shared" si="0"/>
        <v>99.289905502782759</v>
      </c>
      <c r="E63" s="14">
        <f>813287449.29/1000</f>
        <v>813287.44929000002</v>
      </c>
      <c r="F63" s="14">
        <f>808121210.36/1000</f>
        <v>808121.21036000003</v>
      </c>
      <c r="G63" s="24">
        <f t="shared" si="15"/>
        <v>99.364770852604437</v>
      </c>
      <c r="H63" s="47">
        <f t="shared" si="2"/>
        <v>99.364770852604437</v>
      </c>
      <c r="I63" s="10">
        <f t="shared" si="3"/>
        <v>41191.899049999891</v>
      </c>
      <c r="J63" s="10">
        <f t="shared" si="4"/>
        <v>5.0972426564141061E-2</v>
      </c>
    </row>
    <row r="64" spans="1:10" s="15" customFormat="1" ht="36">
      <c r="A64" s="13" t="s">
        <v>58</v>
      </c>
      <c r="B64" s="14">
        <f>800000/1000</f>
        <v>800</v>
      </c>
      <c r="C64" s="14">
        <f>800000/1000</f>
        <v>800</v>
      </c>
      <c r="D64" s="24">
        <f t="shared" si="0"/>
        <v>100</v>
      </c>
      <c r="E64" s="14">
        <f>800000/1000</f>
        <v>800</v>
      </c>
      <c r="F64" s="14">
        <f>800000/1000</f>
        <v>800</v>
      </c>
      <c r="G64" s="24">
        <f t="shared" si="15"/>
        <v>100</v>
      </c>
      <c r="H64" s="47">
        <f t="shared" si="2"/>
        <v>100</v>
      </c>
      <c r="I64" s="10">
        <f t="shared" si="3"/>
        <v>0</v>
      </c>
      <c r="J64" s="10">
        <f t="shared" si="4"/>
        <v>0</v>
      </c>
    </row>
    <row r="65" spans="1:10" s="15" customFormat="1">
      <c r="A65" s="13" t="s">
        <v>90</v>
      </c>
      <c r="B65" s="14">
        <f>420850396.01/1000</f>
        <v>420850.39600999997</v>
      </c>
      <c r="C65" s="14">
        <f>327204343.3/1000</f>
        <v>327204.34330000001</v>
      </c>
      <c r="D65" s="24">
        <f t="shared" si="0"/>
        <v>77.748374814936653</v>
      </c>
      <c r="E65" s="14">
        <f>170922811.11/1000</f>
        <v>170922.81111000001</v>
      </c>
      <c r="F65" s="14">
        <f>169724944.11/1000</f>
        <v>169724.94411000001</v>
      </c>
      <c r="G65" s="24">
        <f t="shared" si="15"/>
        <v>99.2991766328784</v>
      </c>
      <c r="H65" s="47">
        <f t="shared" si="2"/>
        <v>99.2991766328784</v>
      </c>
      <c r="I65" s="10">
        <f t="shared" si="3"/>
        <v>157479.39919</v>
      </c>
      <c r="J65" s="10">
        <f t="shared" si="4"/>
        <v>0.92785064691455377</v>
      </c>
    </row>
    <row r="66" spans="1:10" s="15" customFormat="1">
      <c r="A66" s="13" t="s">
        <v>59</v>
      </c>
      <c r="B66" s="14">
        <f>165375267.87/1000</f>
        <v>165375.26787000001</v>
      </c>
      <c r="C66" s="14">
        <f>163806953.62/1000</f>
        <v>163806.95362000001</v>
      </c>
      <c r="D66" s="24">
        <f t="shared" si="0"/>
        <v>99.051663365266421</v>
      </c>
      <c r="E66" s="14">
        <f>120126708.56/1000</f>
        <v>120126.70856</v>
      </c>
      <c r="F66" s="14">
        <f>119125912.54/1000</f>
        <v>119125.91254</v>
      </c>
      <c r="G66" s="24">
        <f t="shared" si="15"/>
        <v>99.166883008785575</v>
      </c>
      <c r="H66" s="47">
        <f t="shared" si="2"/>
        <v>99.166883008785575</v>
      </c>
      <c r="I66" s="10">
        <f t="shared" si="3"/>
        <v>44681.04108000001</v>
      </c>
      <c r="J66" s="10">
        <f t="shared" si="4"/>
        <v>0.37507407185650765</v>
      </c>
    </row>
    <row r="67" spans="1:10" s="15" customFormat="1">
      <c r="A67" s="13" t="s">
        <v>60</v>
      </c>
      <c r="B67" s="14">
        <f>SUM(B68:B69)</f>
        <v>106623.84727</v>
      </c>
      <c r="C67" s="14">
        <f>SUM(C68:C69)</f>
        <v>106623.84727</v>
      </c>
      <c r="D67" s="24">
        <f t="shared" si="0"/>
        <v>100</v>
      </c>
      <c r="E67" s="14">
        <f>89753899.88/1000</f>
        <v>89753.899879999997</v>
      </c>
      <c r="F67" s="14">
        <f>89139454/1000</f>
        <v>89139.453999999998</v>
      </c>
      <c r="G67" s="24">
        <f t="shared" si="15"/>
        <v>99.31541038236611</v>
      </c>
      <c r="H67" s="47">
        <f t="shared" si="2"/>
        <v>99.31541038236611</v>
      </c>
      <c r="I67" s="10">
        <f t="shared" si="3"/>
        <v>17484.39327</v>
      </c>
      <c r="J67" s="10">
        <f t="shared" si="4"/>
        <v>0.1961465152119958</v>
      </c>
    </row>
    <row r="68" spans="1:10" s="15" customFormat="1">
      <c r="A68" s="13" t="s">
        <v>61</v>
      </c>
      <c r="B68" s="14">
        <f>106623847.27/1000</f>
        <v>106623.84727</v>
      </c>
      <c r="C68" s="14">
        <f>106623847.27/1000</f>
        <v>106623.84727</v>
      </c>
      <c r="D68" s="24">
        <f t="shared" ref="D68" si="17">C68/B68*100</f>
        <v>100</v>
      </c>
      <c r="E68" s="14">
        <f>89753899.88/1000</f>
        <v>89753.899879999997</v>
      </c>
      <c r="F68" s="14">
        <f>89139454/1000</f>
        <v>89139.453999999998</v>
      </c>
      <c r="G68" s="24">
        <f t="shared" si="15"/>
        <v>99.31541038236611</v>
      </c>
      <c r="H68" s="47">
        <f t="shared" si="2"/>
        <v>99.31541038236611</v>
      </c>
      <c r="I68" s="10">
        <f t="shared" si="3"/>
        <v>17484.39327</v>
      </c>
      <c r="J68" s="10">
        <f t="shared" si="4"/>
        <v>0.1961465152119958</v>
      </c>
    </row>
    <row r="69" spans="1:10" s="15" customFormat="1">
      <c r="A69" s="13" t="s">
        <v>62</v>
      </c>
      <c r="B69" s="14">
        <v>0</v>
      </c>
      <c r="C69" s="14">
        <v>0</v>
      </c>
      <c r="D69" s="24">
        <v>0</v>
      </c>
      <c r="E69" s="14">
        <v>0</v>
      </c>
      <c r="F69" s="14">
        <v>0</v>
      </c>
      <c r="G69" s="24">
        <v>0</v>
      </c>
      <c r="H69" s="47">
        <v>0</v>
      </c>
      <c r="I69" s="10">
        <f t="shared" si="3"/>
        <v>0</v>
      </c>
      <c r="J69" s="10">
        <v>0</v>
      </c>
    </row>
    <row r="70" spans="1:10" s="15" customFormat="1">
      <c r="A70" s="13" t="s">
        <v>63</v>
      </c>
      <c r="B70" s="14">
        <f>SUM(B71:B74)</f>
        <v>1222359.78938</v>
      </c>
      <c r="C70" s="14">
        <f>SUM(C71:C74)</f>
        <v>1120571.97227</v>
      </c>
      <c r="D70" s="24">
        <f t="shared" si="0"/>
        <v>91.672843135519997</v>
      </c>
      <c r="E70" s="14">
        <f>872091502.39/1000</f>
        <v>872091.50239000004</v>
      </c>
      <c r="F70" s="14">
        <f>793010670.26/1000</f>
        <v>793010.67026000004</v>
      </c>
      <c r="G70" s="24">
        <f t="shared" ref="G70:G78" si="18">F70/E70*100</f>
        <v>90.932048768589539</v>
      </c>
      <c r="H70" s="47">
        <f t="shared" si="2"/>
        <v>90.932048768589539</v>
      </c>
      <c r="I70" s="10">
        <f t="shared" si="3"/>
        <v>327561.30200999998</v>
      </c>
      <c r="J70" s="10">
        <f t="shared" si="4"/>
        <v>0.41306039665595451</v>
      </c>
    </row>
    <row r="71" spans="1:10" s="15" customFormat="1">
      <c r="A71" s="13" t="s">
        <v>64</v>
      </c>
      <c r="B71" s="14">
        <f>47992000/1000</f>
        <v>47992</v>
      </c>
      <c r="C71" s="14">
        <f>47921714/1000</f>
        <v>47921.714</v>
      </c>
      <c r="D71" s="24">
        <f t="shared" si="0"/>
        <v>99.853546424404072</v>
      </c>
      <c r="E71" s="14">
        <f>45073300/1000</f>
        <v>45073.3</v>
      </c>
      <c r="F71" s="14">
        <f>45048773/1000</f>
        <v>45048.773000000001</v>
      </c>
      <c r="G71" s="24">
        <f t="shared" si="18"/>
        <v>99.945584192859187</v>
      </c>
      <c r="H71" s="47">
        <f t="shared" si="2"/>
        <v>99.945584192859187</v>
      </c>
      <c r="I71" s="10">
        <f t="shared" si="3"/>
        <v>2872.9409999999989</v>
      </c>
      <c r="J71" s="10">
        <f t="shared" si="4"/>
        <v>6.3774012224483867E-2</v>
      </c>
    </row>
    <row r="72" spans="1:10" s="15" customFormat="1">
      <c r="A72" s="13" t="s">
        <v>65</v>
      </c>
      <c r="B72" s="14">
        <f>592205480/1000</f>
        <v>592205.48</v>
      </c>
      <c r="C72" s="14">
        <f>528437341.16/1000</f>
        <v>528437.34116000007</v>
      </c>
      <c r="D72" s="24">
        <f t="shared" si="0"/>
        <v>89.232092408195896</v>
      </c>
      <c r="E72" s="14">
        <f>455520621.2/1000</f>
        <v>455520.62119999999</v>
      </c>
      <c r="F72" s="14">
        <f>406359097.03/1000</f>
        <v>406359.09702999995</v>
      </c>
      <c r="G72" s="24">
        <f t="shared" si="18"/>
        <v>89.207618298269026</v>
      </c>
      <c r="H72" s="47">
        <f t="shared" si="2"/>
        <v>89.207618298269026</v>
      </c>
      <c r="I72" s="10">
        <f t="shared" si="3"/>
        <v>122078.24413000012</v>
      </c>
      <c r="J72" s="10">
        <f t="shared" si="4"/>
        <v>0.30041961659587885</v>
      </c>
    </row>
    <row r="73" spans="1:10" s="15" customFormat="1">
      <c r="A73" s="13" t="s">
        <v>66</v>
      </c>
      <c r="B73" s="14">
        <f>484373082.18/1000</f>
        <v>484373.08218000003</v>
      </c>
      <c r="C73" s="14">
        <f>449274009.97/1000</f>
        <v>449274.00997000001</v>
      </c>
      <c r="D73" s="24">
        <f t="shared" ref="D73:D89" si="19">C73/B73*100</f>
        <v>92.753711240098042</v>
      </c>
      <c r="E73" s="14">
        <f>284698603.51/1000</f>
        <v>284698.60350999999</v>
      </c>
      <c r="F73" s="14">
        <f>254930103.19/1000</f>
        <v>254930.10318999999</v>
      </c>
      <c r="G73" s="24">
        <f t="shared" si="18"/>
        <v>89.54385446469027</v>
      </c>
      <c r="H73" s="47">
        <f t="shared" si="2"/>
        <v>89.54385446469027</v>
      </c>
      <c r="I73" s="10">
        <f t="shared" si="3"/>
        <v>194343.90678000002</v>
      </c>
      <c r="J73" s="10">
        <f t="shared" si="4"/>
        <v>0.76234192960395519</v>
      </c>
    </row>
    <row r="74" spans="1:10" s="15" customFormat="1">
      <c r="A74" s="13" t="s">
        <v>67</v>
      </c>
      <c r="B74" s="14">
        <f>97789227.2/1000</f>
        <v>97789.227200000008</v>
      </c>
      <c r="C74" s="14">
        <f>94938907.14/1000</f>
        <v>94938.907139999996</v>
      </c>
      <c r="D74" s="24">
        <f t="shared" si="19"/>
        <v>97.085241246287296</v>
      </c>
      <c r="E74" s="14">
        <f>86798977.68/1000</f>
        <v>86798.977680000011</v>
      </c>
      <c r="F74" s="14">
        <f>86672697.04/1000</f>
        <v>86672.697040000014</v>
      </c>
      <c r="G74" s="24">
        <f t="shared" si="18"/>
        <v>99.854513678184603</v>
      </c>
      <c r="H74" s="47">
        <f t="shared" ref="H74:H89" si="20">F74/E74*100</f>
        <v>99.854513678184603</v>
      </c>
      <c r="I74" s="10">
        <f t="shared" ref="I74:I91" si="21">C74-F74</f>
        <v>8266.210099999982</v>
      </c>
      <c r="J74" s="10">
        <f t="shared" ref="J74:J89" si="22">I74/F74</f>
        <v>9.5372711157067983E-2</v>
      </c>
    </row>
    <row r="75" spans="1:10" s="15" customFormat="1">
      <c r="A75" s="13" t="s">
        <v>68</v>
      </c>
      <c r="B75" s="14">
        <f>SUM(B76:B79)</f>
        <v>1205822.60775</v>
      </c>
      <c r="C75" s="14">
        <f>SUM(C76:C79)</f>
        <v>860986.58156999992</v>
      </c>
      <c r="D75" s="24">
        <f t="shared" si="19"/>
        <v>71.4024248704836</v>
      </c>
      <c r="E75" s="14">
        <f>759435184.16/1000</f>
        <v>759435.18415999995</v>
      </c>
      <c r="F75" s="14">
        <f>617533720.42/1000</f>
        <v>617533.72041999991</v>
      </c>
      <c r="G75" s="24">
        <f t="shared" si="18"/>
        <v>81.31486837853646</v>
      </c>
      <c r="H75" s="47">
        <f t="shared" si="20"/>
        <v>81.31486837853646</v>
      </c>
      <c r="I75" s="10">
        <f t="shared" si="21"/>
        <v>243452.86115000001</v>
      </c>
      <c r="J75" s="10">
        <f t="shared" si="22"/>
        <v>0.39423411726313784</v>
      </c>
    </row>
    <row r="76" spans="1:10" s="15" customFormat="1">
      <c r="A76" s="13" t="s">
        <v>69</v>
      </c>
      <c r="B76" s="14">
        <f>742932776.39/1000</f>
        <v>742932.77639000001</v>
      </c>
      <c r="C76" s="14">
        <f>495602604.72/1000</f>
        <v>495602.60472</v>
      </c>
      <c r="D76" s="24">
        <f t="shared" si="19"/>
        <v>66.708943321654601</v>
      </c>
      <c r="E76" s="14">
        <f>664145025.41/1000</f>
        <v>664145.02541</v>
      </c>
      <c r="F76" s="14">
        <f>587619393.98/1000</f>
        <v>587619.39398000005</v>
      </c>
      <c r="G76" s="24">
        <f t="shared" si="18"/>
        <v>88.47757214130182</v>
      </c>
      <c r="H76" s="47">
        <f t="shared" si="20"/>
        <v>88.47757214130182</v>
      </c>
      <c r="I76" s="10">
        <f t="shared" si="21"/>
        <v>-92016.789260000049</v>
      </c>
      <c r="J76" s="10">
        <f t="shared" si="22"/>
        <v>-0.15659249882268503</v>
      </c>
    </row>
    <row r="77" spans="1:10" s="15" customFormat="1">
      <c r="A77" s="13" t="s">
        <v>70</v>
      </c>
      <c r="B77" s="14">
        <f>460768942.47/1000</f>
        <v>460768.94247000001</v>
      </c>
      <c r="C77" s="14">
        <f>363263087.96/1000</f>
        <v>363263.08795999998</v>
      </c>
      <c r="D77" s="24">
        <f t="shared" si="19"/>
        <v>78.838449052727015</v>
      </c>
      <c r="E77" s="14">
        <f>86301369.86/1000</f>
        <v>86301.369860000006</v>
      </c>
      <c r="F77" s="14">
        <f>20925537.55/1000</f>
        <v>20925.537550000001</v>
      </c>
      <c r="G77" s="24">
        <f t="shared" si="18"/>
        <v>24.247051447672121</v>
      </c>
      <c r="H77" s="47">
        <v>0</v>
      </c>
      <c r="I77" s="10">
        <f t="shared" si="21"/>
        <v>342337.55040999997</v>
      </c>
      <c r="J77" s="10">
        <v>0</v>
      </c>
    </row>
    <row r="78" spans="1:10" s="15" customFormat="1">
      <c r="A78" s="13" t="s">
        <v>96</v>
      </c>
      <c r="B78" s="14">
        <f>2120888.89/1000</f>
        <v>2120.8888900000002</v>
      </c>
      <c r="C78" s="14">
        <f>2120888.89/1000</f>
        <v>2120.8888900000002</v>
      </c>
      <c r="D78" s="24">
        <f t="shared" si="19"/>
        <v>100</v>
      </c>
      <c r="E78" s="14">
        <f>8988788.89/1000</f>
        <v>8988.7888899999998</v>
      </c>
      <c r="F78" s="14">
        <f>8988788.89/1000</f>
        <v>8988.7888899999998</v>
      </c>
      <c r="G78" s="24">
        <f t="shared" si="18"/>
        <v>100</v>
      </c>
      <c r="H78" s="47">
        <v>0</v>
      </c>
      <c r="I78" s="10">
        <f t="shared" si="21"/>
        <v>-6867.9</v>
      </c>
      <c r="J78" s="10">
        <v>100</v>
      </c>
    </row>
    <row r="79" spans="1:10" s="15" customFormat="1">
      <c r="A79" s="13" t="s">
        <v>71</v>
      </c>
      <c r="B79" s="14">
        <v>0</v>
      </c>
      <c r="C79" s="14">
        <v>0</v>
      </c>
      <c r="D79" s="24">
        <v>0</v>
      </c>
      <c r="E79" s="14">
        <v>0</v>
      </c>
      <c r="F79" s="14">
        <v>0</v>
      </c>
      <c r="G79" s="24">
        <v>0</v>
      </c>
      <c r="H79" s="47">
        <v>0</v>
      </c>
      <c r="I79" s="10">
        <f t="shared" si="21"/>
        <v>0</v>
      </c>
      <c r="J79" s="10">
        <v>0</v>
      </c>
    </row>
    <row r="80" spans="1:10" s="15" customFormat="1">
      <c r="A80" s="13" t="s">
        <v>72</v>
      </c>
      <c r="B80" s="14">
        <f>SUM(B81:B82)</f>
        <v>42600</v>
      </c>
      <c r="C80" s="14">
        <f>SUM(C81:C82)</f>
        <v>42600</v>
      </c>
      <c r="D80" s="24">
        <f t="shared" si="19"/>
        <v>100</v>
      </c>
      <c r="E80" s="14">
        <f>37998852/1000</f>
        <v>37998.851999999999</v>
      </c>
      <c r="F80" s="14">
        <f>37998852/1000</f>
        <v>37998.851999999999</v>
      </c>
      <c r="G80" s="24">
        <f t="shared" ref="G80:G82" si="23">F80/E80*100</f>
        <v>100</v>
      </c>
      <c r="H80" s="47">
        <f t="shared" si="20"/>
        <v>100</v>
      </c>
      <c r="I80" s="10">
        <f t="shared" si="21"/>
        <v>4601.148000000001</v>
      </c>
      <c r="J80" s="10">
        <f t="shared" si="22"/>
        <v>0.12108650019216373</v>
      </c>
    </row>
    <row r="81" spans="1:12" s="15" customFormat="1">
      <c r="A81" s="13" t="s">
        <v>88</v>
      </c>
      <c r="B81" s="14">
        <f>25000000/1000</f>
        <v>25000</v>
      </c>
      <c r="C81" s="14">
        <f>25000000/1000</f>
        <v>25000</v>
      </c>
      <c r="D81" s="24">
        <f t="shared" si="19"/>
        <v>100</v>
      </c>
      <c r="E81" s="14">
        <f>20998852/1000</f>
        <v>20998.851999999999</v>
      </c>
      <c r="F81" s="14">
        <f>20998852/1000</f>
        <v>20998.851999999999</v>
      </c>
      <c r="G81" s="24">
        <f t="shared" si="23"/>
        <v>100</v>
      </c>
      <c r="H81" s="47">
        <f t="shared" si="20"/>
        <v>100</v>
      </c>
      <c r="I81" s="10">
        <f t="shared" si="21"/>
        <v>4001.148000000001</v>
      </c>
      <c r="J81" s="10">
        <f t="shared" si="22"/>
        <v>0.19054127339913635</v>
      </c>
    </row>
    <row r="82" spans="1:12" s="15" customFormat="1">
      <c r="A82" s="13" t="s">
        <v>73</v>
      </c>
      <c r="B82" s="14">
        <f>17600000/1000</f>
        <v>17600</v>
      </c>
      <c r="C82" s="14">
        <f>17600000/1000</f>
        <v>17600</v>
      </c>
      <c r="D82" s="24">
        <f t="shared" si="19"/>
        <v>100</v>
      </c>
      <c r="E82" s="14">
        <f>17000000/1000</f>
        <v>17000</v>
      </c>
      <c r="F82" s="14">
        <f>17000000/1000</f>
        <v>17000</v>
      </c>
      <c r="G82" s="24">
        <f t="shared" si="23"/>
        <v>100</v>
      </c>
      <c r="H82" s="47">
        <f t="shared" si="20"/>
        <v>100</v>
      </c>
      <c r="I82" s="10">
        <f t="shared" si="21"/>
        <v>600</v>
      </c>
      <c r="J82" s="10">
        <f t="shared" si="22"/>
        <v>3.5294117647058823E-2</v>
      </c>
    </row>
    <row r="83" spans="1:12" s="15" customFormat="1" ht="36">
      <c r="A83" s="13" t="s">
        <v>74</v>
      </c>
      <c r="B83" s="37">
        <v>0</v>
      </c>
      <c r="C83" s="37">
        <v>0</v>
      </c>
      <c r="D83" s="24">
        <v>0</v>
      </c>
      <c r="E83" s="37">
        <v>0</v>
      </c>
      <c r="F83" s="37">
        <v>0</v>
      </c>
      <c r="G83" s="24">
        <v>0</v>
      </c>
      <c r="H83" s="47">
        <v>0</v>
      </c>
      <c r="I83" s="10">
        <f t="shared" si="21"/>
        <v>0</v>
      </c>
      <c r="J83" s="10">
        <v>0</v>
      </c>
    </row>
    <row r="84" spans="1:12" s="15" customFormat="1" ht="36">
      <c r="A84" s="13" t="s">
        <v>75</v>
      </c>
      <c r="B84" s="37">
        <v>0</v>
      </c>
      <c r="C84" s="37">
        <v>0</v>
      </c>
      <c r="D84" s="24">
        <v>0</v>
      </c>
      <c r="E84" s="37">
        <v>0</v>
      </c>
      <c r="F84" s="37">
        <v>0</v>
      </c>
      <c r="G84" s="24">
        <v>0</v>
      </c>
      <c r="H84" s="47">
        <v>0</v>
      </c>
      <c r="I84" s="10">
        <f t="shared" si="21"/>
        <v>0</v>
      </c>
      <c r="J84" s="10">
        <v>0</v>
      </c>
    </row>
    <row r="85" spans="1:12" s="15" customFormat="1" ht="54">
      <c r="A85" s="13" t="s">
        <v>76</v>
      </c>
      <c r="B85" s="14">
        <f>SUM(B86:B87)</f>
        <v>1384584.7</v>
      </c>
      <c r="C85" s="14">
        <f>SUM(C86:C87)</f>
        <v>1203132.3886199999</v>
      </c>
      <c r="D85" s="24">
        <f t="shared" si="19"/>
        <v>86.894820419436954</v>
      </c>
      <c r="E85" s="14">
        <f>832546306.42/1000</f>
        <v>832546.30641999992</v>
      </c>
      <c r="F85" s="14">
        <f>765926427.45/1000</f>
        <v>765926.42745000008</v>
      </c>
      <c r="G85" s="24">
        <f t="shared" ref="G85" si="24">F85/E85*100</f>
        <v>91.998057230417686</v>
      </c>
      <c r="H85" s="47">
        <f t="shared" si="20"/>
        <v>91.998057230417686</v>
      </c>
      <c r="I85" s="10">
        <f t="shared" si="21"/>
        <v>437205.96116999979</v>
      </c>
      <c r="J85" s="10">
        <v>0</v>
      </c>
    </row>
    <row r="86" spans="1:12" s="15" customFormat="1" ht="54">
      <c r="A86" s="13" t="s">
        <v>77</v>
      </c>
      <c r="B86" s="14">
        <f>655084700/1000</f>
        <v>655084.69999999995</v>
      </c>
      <c r="C86" s="14">
        <f>655084700/1000</f>
        <v>655084.69999999995</v>
      </c>
      <c r="D86" s="24">
        <v>0</v>
      </c>
      <c r="E86" s="14">
        <f>465708104/1000</f>
        <v>465708.10399999999</v>
      </c>
      <c r="F86" s="14">
        <f>465708104/1000</f>
        <v>465708.10399999999</v>
      </c>
      <c r="G86" s="24">
        <v>0</v>
      </c>
      <c r="H86" s="47">
        <v>0</v>
      </c>
      <c r="I86" s="10">
        <f t="shared" si="21"/>
        <v>189376.59599999996</v>
      </c>
      <c r="J86" s="10">
        <v>0</v>
      </c>
    </row>
    <row r="87" spans="1:12" s="15" customFormat="1">
      <c r="A87" s="13" t="s">
        <v>78</v>
      </c>
      <c r="B87" s="14">
        <f>729500000/1000</f>
        <v>729500</v>
      </c>
      <c r="C87" s="14">
        <f>548047688.62/1000</f>
        <v>548047.68862000003</v>
      </c>
      <c r="D87" s="24">
        <f t="shared" si="19"/>
        <v>75.126482333104875</v>
      </c>
      <c r="E87" s="14">
        <f>366838202.42/1000</f>
        <v>366838.20242000005</v>
      </c>
      <c r="F87" s="14">
        <f>300218323.45/1000</f>
        <v>300218.32344999997</v>
      </c>
      <c r="G87" s="24">
        <f t="shared" ref="G87:G89" si="25">F87/E87*100</f>
        <v>81.839438060018153</v>
      </c>
      <c r="H87" s="47">
        <f t="shared" si="20"/>
        <v>81.839438060018153</v>
      </c>
      <c r="I87" s="10">
        <f t="shared" si="21"/>
        <v>247829.36517000006</v>
      </c>
      <c r="J87" s="10">
        <v>0</v>
      </c>
    </row>
    <row r="88" spans="1:12" s="15" customFormat="1">
      <c r="A88" s="16" t="s">
        <v>79</v>
      </c>
      <c r="B88" s="17">
        <f>-429680912.35/1000</f>
        <v>-429680.91235</v>
      </c>
      <c r="C88" s="17">
        <f>1255303210.14/1000</f>
        <v>1255303.2101400001</v>
      </c>
      <c r="D88" s="24">
        <f t="shared" si="19"/>
        <v>-292.14777153458539</v>
      </c>
      <c r="E88" s="17">
        <f>-30995973.34/1000</f>
        <v>-30995.97334</v>
      </c>
      <c r="F88" s="17">
        <f>664020891.48/1000</f>
        <v>664020.89147999999</v>
      </c>
      <c r="G88" s="24">
        <f t="shared" si="25"/>
        <v>-2142.2811414768107</v>
      </c>
      <c r="H88" s="47">
        <f t="shared" si="20"/>
        <v>-2142.2811414768107</v>
      </c>
      <c r="I88" s="10">
        <f t="shared" si="21"/>
        <v>591282.31866000011</v>
      </c>
      <c r="J88" s="10">
        <f t="shared" si="22"/>
        <v>0.89045740314302935</v>
      </c>
      <c r="K88" s="30"/>
      <c r="L88" s="30"/>
    </row>
    <row r="89" spans="1:12">
      <c r="A89" s="18" t="s">
        <v>80</v>
      </c>
      <c r="B89" s="8">
        <f>429680912.35/1000</f>
        <v>429680.91235</v>
      </c>
      <c r="C89" s="8">
        <f>-1255303210.14/1000</f>
        <v>-1255303.2101400001</v>
      </c>
      <c r="D89" s="24">
        <f t="shared" si="19"/>
        <v>-292.14777153458539</v>
      </c>
      <c r="E89" s="8">
        <f>30995973.34/1000</f>
        <v>30995.97334</v>
      </c>
      <c r="F89" s="8">
        <f>-664020891.48/1000</f>
        <v>-664020.89147999999</v>
      </c>
      <c r="G89" s="24">
        <f t="shared" si="25"/>
        <v>-2142.2811414768107</v>
      </c>
      <c r="H89" s="47">
        <f t="shared" si="20"/>
        <v>-2142.2811414768107</v>
      </c>
      <c r="I89" s="10">
        <f t="shared" si="21"/>
        <v>-591282.31866000011</v>
      </c>
      <c r="J89" s="10">
        <f t="shared" si="22"/>
        <v>0.89045740314302935</v>
      </c>
      <c r="K89" s="26"/>
    </row>
    <row r="90" spans="1:12">
      <c r="A90" s="20" t="s">
        <v>81</v>
      </c>
      <c r="B90" s="12"/>
      <c r="C90" s="12"/>
      <c r="D90" s="25"/>
      <c r="E90" s="12"/>
      <c r="F90" s="12"/>
      <c r="G90" s="25"/>
      <c r="H90" s="47" t="s">
        <v>86</v>
      </c>
      <c r="I90" s="10"/>
      <c r="J90" s="10"/>
    </row>
    <row r="91" spans="1:12">
      <c r="A91" s="21" t="s">
        <v>82</v>
      </c>
      <c r="B91" s="14">
        <f>-200000000/1000</f>
        <v>-200000</v>
      </c>
      <c r="C91" s="14">
        <f>-30000000/1000</f>
        <v>-30000</v>
      </c>
      <c r="D91" s="24">
        <v>0</v>
      </c>
      <c r="E91" s="14">
        <v>0</v>
      </c>
      <c r="F91" s="14">
        <v>0</v>
      </c>
      <c r="G91" s="24">
        <v>0</v>
      </c>
      <c r="H91" s="48">
        <v>0</v>
      </c>
      <c r="I91" s="10">
        <f t="shared" si="21"/>
        <v>-30000</v>
      </c>
      <c r="J91" s="10">
        <v>0</v>
      </c>
    </row>
    <row r="93" spans="1:12">
      <c r="B93" s="26"/>
      <c r="J93" s="26"/>
      <c r="K93" s="26"/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Мазур</cp:lastModifiedBy>
  <cp:lastPrinted>2021-04-16T09:32:09Z</cp:lastPrinted>
  <dcterms:created xsi:type="dcterms:W3CDTF">2019-10-28T07:22:02Z</dcterms:created>
  <dcterms:modified xsi:type="dcterms:W3CDTF">2023-03-23T14:10:34Z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